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/comment2.xml" ContentType="application/vnd.openxmlformats-officedocument.spreadsheetml.comments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drawings/drawing1.xml" ContentType="application/vnd.openxmlformats-officedocument.drawing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ver" sheetId="1" state="visible" r:id="rId1"/>
    <sheet name="Historicals" sheetId="2" state="visible" r:id="rId2"/>
    <sheet name="Analysis" sheetId="3" state="visible" r:id="rId3"/>
    <sheet name="Assumptions" sheetId="4" state="visible" r:id="rId4"/>
    <sheet name="Schedules" sheetId="5" state="visible" r:id="rId5"/>
    <sheet name="Financials" sheetId="6" state="visible" r:id="rId6"/>
    <sheet name="WACC" sheetId="7" state="visible" r:id="rId7"/>
    <sheet name="DCF" sheetId="8" state="visible" r:id="rId8"/>
    <sheet name="Sensitivity" sheetId="9" state="visible" r:id="rId9"/>
    <sheet name="Summary" sheetId="10" state="visible" r:id="rId10"/>
    <sheet name="Checks" sheetId="11" state="visible" r:id="rId11"/>
  </sheets>
  <definedNames>
    <definedName name="Scenario">Assumptions!$C$4</definedName>
    <definedName name="RoundingAllowed">Checks!$C$14</definedName>
    <definedName name="EquityValue">DCF!$C$32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#,##0.00;(#,##0.00);&quot;-&quot;"/>
    <numFmt numFmtId="165" formatCode="0.0%;(0.0%);&quot;-&quot;"/>
    <numFmt numFmtId="166" formatCode="0&quot; days&quot;"/>
    <numFmt numFmtId="167" formatCode="0.0&quot;x&quot;"/>
    <numFmt numFmtId="168" formatCode="0.0"/>
    <numFmt numFmtId="169" formatCode="0.0000"/>
  </numFmts>
  <fonts count="9">
    <font>
      <name val="Calibri"/>
      <family val="2"/>
      <color theme="1"/>
      <sz val="11"/>
      <scheme val="minor"/>
    </font>
    <font>
      <name val="Arial"/>
      <b val="1"/>
      <sz val="14"/>
    </font>
    <font>
      <name val="Arial"/>
      <sz val="10"/>
    </font>
    <font>
      <name val="Arial"/>
      <b val="1"/>
      <sz val="10"/>
    </font>
    <font>
      <name val="Arial"/>
      <color rgb="FF0563C1"/>
      <sz val="10"/>
      <u val="single"/>
    </font>
    <font>
      <name val="Arial"/>
      <color rgb="FF0000FF"/>
      <sz val="10"/>
    </font>
    <font>
      <name val="Arial"/>
      <b val="1"/>
      <color rgb="FFFFFFFF"/>
      <sz val="10"/>
    </font>
    <font>
      <name val="Arial"/>
      <color rgb="FF008000"/>
      <sz val="10"/>
    </font>
    <font>
      <name val="Arial"/>
      <i val="1"/>
      <sz val="9"/>
    </font>
  </fonts>
  <fills count="6">
    <fill>
      <patternFill/>
    </fill>
    <fill>
      <patternFill patternType="gray125"/>
    </fill>
    <fill>
      <patternFill patternType="solid">
        <fgColor rgb="FFFFF2CC"/>
      </patternFill>
    </fill>
    <fill>
      <patternFill patternType="solid">
        <fgColor rgb="FF1F3864"/>
      </patternFill>
    </fill>
    <fill>
      <patternFill patternType="solid">
        <fgColor rgb="FFD9E1F2"/>
      </patternFill>
    </fill>
    <fill>
      <patternFill patternType="solid">
        <fgColor rgb="FFD9EAD3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" fontId="5" fillId="2" borderId="0" pivotButton="0" quotePrefix="0" xfId="0"/>
    <xf numFmtId="0" fontId="6" fillId="3" borderId="0" applyAlignment="1" pivotButton="0" quotePrefix="0" xfId="0">
      <alignment horizontal="left"/>
    </xf>
    <xf numFmtId="0" fontId="6" fillId="3" borderId="0" applyAlignment="1" pivotButton="0" quotePrefix="0" xfId="0">
      <alignment horizontal="center"/>
    </xf>
    <xf numFmtId="0" fontId="3" fillId="4" borderId="0" pivotButton="0" quotePrefix="0" xfId="0"/>
    <xf numFmtId="0" fontId="0" fillId="4" borderId="0" pivotButton="0" quotePrefix="0" xfId="0"/>
    <xf numFmtId="164" fontId="5" fillId="2" borderId="0" pivotButton="0" quotePrefix="0" xfId="0"/>
    <xf numFmtId="164" fontId="3" fillId="0" borderId="1" pivotButton="0" quotePrefix="0" xfId="0"/>
    <xf numFmtId="165" fontId="2" fillId="0" borderId="0" pivotButton="0" quotePrefix="0" xfId="0"/>
    <xf numFmtId="166" fontId="2" fillId="0" borderId="0" pivotButton="0" quotePrefix="0" xfId="0"/>
    <xf numFmtId="167" fontId="2" fillId="0" borderId="0" pivotButton="0" quotePrefix="0" xfId="0"/>
    <xf numFmtId="164" fontId="2" fillId="0" borderId="0" pivotButton="0" quotePrefix="0" xfId="0"/>
    <xf numFmtId="0" fontId="5" fillId="2" borderId="0" pivotButton="0" quotePrefix="0" xfId="0"/>
    <xf numFmtId="165" fontId="7" fillId="0" borderId="0" pivotButton="0" quotePrefix="0" xfId="0"/>
    <xf numFmtId="165" fontId="5" fillId="2" borderId="0" pivotButton="0" quotePrefix="0" xfId="0"/>
    <xf numFmtId="166" fontId="7" fillId="0" borderId="0" pivotButton="0" quotePrefix="0" xfId="0"/>
    <xf numFmtId="166" fontId="5" fillId="2" borderId="0" pivotButton="0" quotePrefix="0" xfId="0"/>
    <xf numFmtId="0" fontId="8" fillId="0" borderId="0" pivotButton="0" quotePrefix="0" xfId="0"/>
    <xf numFmtId="164" fontId="7" fillId="0" borderId="0" pivotButton="0" quotePrefix="0" xfId="0"/>
    <xf numFmtId="164" fontId="3" fillId="0" borderId="0" pivotButton="0" quotePrefix="0" xfId="0"/>
    <xf numFmtId="0" fontId="0" fillId="0" borderId="1" pivotButton="0" quotePrefix="0" xfId="0"/>
    <xf numFmtId="2" fontId="5" fillId="2" borderId="0" pivotButton="0" quotePrefix="0" xfId="0"/>
    <xf numFmtId="165" fontId="3" fillId="0" borderId="0" pivotButton="0" quotePrefix="0" xfId="0"/>
    <xf numFmtId="167" fontId="5" fillId="2" borderId="0" pivotButton="0" quotePrefix="0" xfId="0"/>
    <xf numFmtId="4" fontId="5" fillId="2" borderId="0" pivotButton="0" quotePrefix="0" xfId="0"/>
    <xf numFmtId="1" fontId="2" fillId="0" borderId="0" pivotButton="0" quotePrefix="0" xfId="0"/>
    <xf numFmtId="168" fontId="2" fillId="0" borderId="0" pivotButton="0" quotePrefix="0" xfId="0"/>
    <xf numFmtId="169" fontId="2" fillId="0" borderId="0" pivotButton="0" quotePrefix="0" xfId="0"/>
    <xf numFmtId="4" fontId="3" fillId="0" borderId="0" pivotButton="0" quotePrefix="0" xfId="0"/>
    <xf numFmtId="164" fontId="3" fillId="5" borderId="0" pivotButton="0" quotePrefix="0" xfId="0"/>
    <xf numFmtId="167" fontId="3" fillId="0" borderId="0" pivotButton="0" quotePrefix="0" xfId="0"/>
    <xf numFmtId="0" fontId="7" fillId="0" borderId="0" pivotButton="0" quotePrefix="0" xfId="0"/>
    <xf numFmtId="4" fontId="7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FFF4CCCC"/>
        </patternFill>
      </fill>
    </dxf>
    <dxf>
      <fill>
        <patternFill patternType="solid">
          <fgColor rgb="FF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Revenue and EBITDA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'Summary'!A13</f>
            </strRef>
          </tx>
          <spPr>
            <a:ln>
              <a:prstDash val="solid"/>
            </a:ln>
          </spPr>
          <cat>
            <numRef>
              <f>'Summary'!$C$12:$H$12</f>
            </numRef>
          </cat>
          <val>
            <numRef>
              <f>'Summary'!$B$13:$H$13</f>
            </numRef>
          </val>
        </ser>
        <ser>
          <idx val="1"/>
          <order val="1"/>
          <tx>
            <strRef>
              <f>'Summary'!A14</f>
            </strRef>
          </tx>
          <spPr>
            <a:ln>
              <a:prstDash val="solid"/>
            </a:ln>
          </spPr>
          <cat>
            <numRef>
              <f>'Summary'!$C$12:$H$12</f>
            </numRef>
          </cat>
          <val>
            <numRef>
              <f>'Summary'!$B$14:$H$14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₹ lakhs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Free cash flow to the firm</a:t>
            </a:r>
          </a:p>
        </rich>
      </tx>
    </title>
    <plotArea>
      <lineChart>
        <grouping val="standard"/>
        <ser>
          <idx val="0"/>
          <order val="0"/>
          <tx>
            <strRef>
              <f>'Summary'!A16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'Summary'!$C$12:$H$12</f>
            </numRef>
          </cat>
          <val>
            <numRef>
              <f>'Summary'!$B$16:$H$16</f>
            </numRef>
          </val>
        </ser>
        <axId val="10"/>
        <axId val="100"/>
      </line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₹ lakhs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omments/comment1.xml><?xml version="1.0" encoding="utf-8"?>
<comments xmlns="http://schemas.openxmlformats.org/spreadsheetml/2006/main">
  <authors>
    <author>herodocu</author>
  </authors>
  <commentList>
    <comment ref="D3" authorId="0" shapeId="0">
      <text>
        <t>herodocu sets this to the latest year in the reports; every year heading in the model follows it.</t>
      </text>
    </comment>
    <comment ref="A19" authorId="0" shapeId="0">
      <text>
        <t>Everything between profit before exceptional items and profit before tax, as a charge: exceptional and extraordinary items, less any share of associates' profit.</t>
      </text>
    </comment>
    <comment ref="A21" authorId="0" shapeId="0">
      <text>
        <t>Includes tax of earlier years.</t>
      </text>
    </comment>
  </commentList>
</comments>
</file>

<file path=xl/comments/comment2.xml><?xml version="1.0" encoding="utf-8"?>
<comments xmlns="http://schemas.openxmlformats.org/spreadsheetml/2006/main">
  <authors>
    <author>herodocu</author>
  </authors>
  <commentList>
    <comment ref="A25" authorId="0" shapeId="0">
      <text>
        <t>Gordon growth on the final year's free cash flow; shown as #N/A when the growth rate is not below WACC.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Relationship Type="http://schemas.openxmlformats.org/officeDocument/2006/relationships/chart" Target="/xl/charts/chart2.xml" Id="rId2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19</row>
      <rowOff>0</rowOff>
    </from>
    <ext cx="5400000" cy="270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5</col>
      <colOff>0</colOff>
      <row>19</row>
      <rowOff>0</rowOff>
    </from>
    <ext cx="5400000" cy="2700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#'Historicals'!A1" TargetMode="External" Id="rId1" /><Relationship Type="http://schemas.openxmlformats.org/officeDocument/2006/relationships/hyperlink" Target="#'Analysis'!A1" TargetMode="External" Id="rId2" /><Relationship Type="http://schemas.openxmlformats.org/officeDocument/2006/relationships/hyperlink" Target="#'Assumptions'!A1" TargetMode="External" Id="rId3" /><Relationship Type="http://schemas.openxmlformats.org/officeDocument/2006/relationships/hyperlink" Target="#'Schedules'!A1" TargetMode="External" Id="rId4" /><Relationship Type="http://schemas.openxmlformats.org/officeDocument/2006/relationships/hyperlink" Target="#'Financials'!A1" TargetMode="External" Id="rId5" /><Relationship Type="http://schemas.openxmlformats.org/officeDocument/2006/relationships/hyperlink" Target="#'WACC'!A1" TargetMode="External" Id="rId6" /><Relationship Type="http://schemas.openxmlformats.org/officeDocument/2006/relationships/hyperlink" Target="#'DCF'!A1" TargetMode="External" Id="rId7" /><Relationship Type="http://schemas.openxmlformats.org/officeDocument/2006/relationships/hyperlink" Target="#'Sensitivity'!A1" TargetMode="External" Id="rId8" /><Relationship Type="http://schemas.openxmlformats.org/officeDocument/2006/relationships/hyperlink" Target="#'Summary'!A1" TargetMode="External" Id="rId9" /><Relationship Type="http://schemas.openxmlformats.org/officeDocument/2006/relationships/hyperlink" Target="#'Checks'!A1" TargetMode="External" Id="rId10" 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8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10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1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Sample valuation model</t>
        </is>
      </c>
    </row>
    <row r="2">
      <c r="A2" s="2" t="inlineStr">
        <is>
          <t>A detailed template of the kind a client sends. Figures in ₹ lakhs.</t>
        </is>
      </c>
    </row>
    <row r="4">
      <c r="A4" s="3" t="inlineStr">
        <is>
          <t>How to use it</t>
        </is>
      </c>
    </row>
    <row r="5">
      <c r="A5" s="2" t="inlineStr">
        <is>
          <t>1. Historicals: set the latest year in D3, and the blue cells take three years of audited figures. herodocu fills both from the annual reports.</t>
        </is>
      </c>
    </row>
    <row r="6">
      <c r="A6" s="2" t="inlineStr">
        <is>
          <t>2. Assumptions: choose a scenario and set the drivers in blue. Every other figure is a formula.</t>
        </is>
      </c>
    </row>
    <row r="7">
      <c r="A7" s="2" t="inlineStr">
        <is>
          <t>3. Read the answer on Summary; check that Checks shows OK.</t>
        </is>
      </c>
    </row>
    <row r="8">
      <c r="A8" s="2" t="inlineStr"/>
    </row>
    <row r="9">
      <c r="A9" s="3" t="inlineStr">
        <is>
          <t>Sheets</t>
        </is>
      </c>
    </row>
    <row r="10">
      <c r="A10" s="4" t="inlineStr">
        <is>
          <t>Historicals — audited statements, the input sheet</t>
        </is>
      </c>
    </row>
    <row r="11">
      <c r="A11" s="4" t="inlineStr">
        <is>
          <t>Analysis — growth, margins, working capital days and returns from the historicals</t>
        </is>
      </c>
    </row>
    <row r="12">
      <c r="A12" s="4" t="inlineStr">
        <is>
          <t>Assumptions — Base, Upside and Downside drivers, and the scenario in use</t>
        </is>
      </c>
    </row>
    <row r="13">
      <c r="A13" s="4" t="inlineStr">
        <is>
          <t>Schedules — fixed assets, working capital and debt</t>
        </is>
      </c>
    </row>
    <row r="14">
      <c r="A14" s="4" t="inlineStr">
        <is>
          <t>Financials — projected profit and loss, balance sheet and cash flow</t>
        </is>
      </c>
    </row>
    <row r="15">
      <c r="A15" s="4" t="inlineStr">
        <is>
          <t>WACC — cost of equity, cost of debt and the discount rate</t>
        </is>
      </c>
    </row>
    <row r="16">
      <c r="A16" s="4" t="inlineStr">
        <is>
          <t>DCF — free cash flow, terminal value and the bridge to equity value</t>
        </is>
      </c>
    </row>
    <row r="17">
      <c r="A17" s="4" t="inlineStr">
        <is>
          <t>Sensitivity — equity value against WACC, terminal growth and exit multiple</t>
        </is>
      </c>
    </row>
    <row r="18">
      <c r="A18" s="4" t="inlineStr">
        <is>
          <t>Summary — the answer, with charts</t>
        </is>
      </c>
    </row>
    <row r="19">
      <c r="A19" s="4" t="inlineStr">
        <is>
          <t>Checks — every check in the model in one place</t>
        </is>
      </c>
    </row>
    <row r="20">
      <c r="A20" s="2" t="inlineStr"/>
    </row>
    <row r="21">
      <c r="A21" s="2" t="inlineStr">
        <is>
          <t>Colours: blue on yellow = input; green = taken from another sheet; black = formula.</t>
        </is>
      </c>
    </row>
  </sheetData>
  <hyperlinks>
    <hyperlink xmlns:r="http://schemas.openxmlformats.org/officeDocument/2006/relationships" ref="A10" r:id="rId1"/>
    <hyperlink xmlns:r="http://schemas.openxmlformats.org/officeDocument/2006/relationships" ref="A11" r:id="rId2"/>
    <hyperlink xmlns:r="http://schemas.openxmlformats.org/officeDocument/2006/relationships" ref="A12" r:id="rId3"/>
    <hyperlink xmlns:r="http://schemas.openxmlformats.org/officeDocument/2006/relationships" ref="A13" r:id="rId4"/>
    <hyperlink xmlns:r="http://schemas.openxmlformats.org/officeDocument/2006/relationships" ref="A14" r:id="rId5"/>
    <hyperlink xmlns:r="http://schemas.openxmlformats.org/officeDocument/2006/relationships" ref="A15" r:id="rId6"/>
    <hyperlink xmlns:r="http://schemas.openxmlformats.org/officeDocument/2006/relationships" ref="A16" r:id="rId7"/>
    <hyperlink xmlns:r="http://schemas.openxmlformats.org/officeDocument/2006/relationships" ref="A17" r:id="rId8"/>
    <hyperlink xmlns:r="http://schemas.openxmlformats.org/officeDocument/2006/relationships" ref="A18" r:id="rId9"/>
    <hyperlink xmlns:r="http://schemas.openxmlformats.org/officeDocument/2006/relationships" ref="A19" r:id="rId10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5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2" customWidth="1" min="1" max="1"/>
    <col width="15" customWidth="1" min="2" max="2"/>
    <col width="15" customWidth="1" min="3" max="3"/>
    <col width="15" customWidth="1" min="4" max="4"/>
  </cols>
  <sheetData>
    <row r="1">
      <c r="A1" s="1" t="inlineStr">
        <is>
          <t>Historical financial statements</t>
        </is>
      </c>
    </row>
    <row r="2">
      <c r="A2" s="2" t="inlineStr">
        <is>
          <t>₹ in lakhs. Blue cells are inputs, as printed in the audited statements; everything else is worked out.</t>
        </is>
      </c>
    </row>
    <row r="3">
      <c r="A3" s="3" t="inlineStr">
        <is>
          <t>Latest financial year ends 31 March of</t>
        </is>
      </c>
      <c r="D3" s="5" t="n">
        <v>2025</v>
      </c>
    </row>
    <row r="4">
      <c r="A4" s="6" t="inlineStr">
        <is>
          <t>Particulars</t>
        </is>
      </c>
      <c r="B4" s="7">
        <f>"FY "&amp;(Historicals!$D$3+-2-1)&amp;"-"&amp;RIGHT(Historicals!$D$3+-2,2)</f>
        <v/>
      </c>
      <c r="C4" s="7">
        <f>"FY "&amp;(Historicals!$D$3+-1-1)&amp;"-"&amp;RIGHT(Historicals!$D$3+-1,2)</f>
        <v/>
      </c>
      <c r="D4" s="7">
        <f>"FY "&amp;(Historicals!$D$3-1)&amp;"-"&amp;RIGHT(Historicals!$D$3,2)</f>
        <v/>
      </c>
    </row>
    <row r="5">
      <c r="A5" s="8" t="inlineStr">
        <is>
          <t>Profit and loss</t>
        </is>
      </c>
      <c r="B5" s="9" t="n"/>
      <c r="C5" s="9" t="n"/>
      <c r="D5" s="9" t="n"/>
    </row>
    <row r="6">
      <c r="A6" s="2" t="inlineStr">
        <is>
          <t>Revenue from operations</t>
        </is>
      </c>
      <c r="B6" s="10" t="n"/>
      <c r="C6" s="10" t="n"/>
      <c r="D6" s="10" t="n"/>
    </row>
    <row r="7">
      <c r="A7" s="2" t="inlineStr">
        <is>
          <t>Other income</t>
        </is>
      </c>
      <c r="B7" s="10" t="n"/>
      <c r="C7" s="10" t="n"/>
      <c r="D7" s="10" t="n"/>
    </row>
    <row r="8">
      <c r="A8" s="3" t="inlineStr">
        <is>
          <t>Total income</t>
        </is>
      </c>
      <c r="B8" s="11">
        <f>B6+B7</f>
        <v/>
      </c>
      <c r="C8" s="11">
        <f>C6+C7</f>
        <v/>
      </c>
      <c r="D8" s="11">
        <f>D6+D7</f>
        <v/>
      </c>
    </row>
    <row r="9">
      <c r="A9" s="2" t="inlineStr">
        <is>
          <t>Cost of materials consumed</t>
        </is>
      </c>
      <c r="B9" s="10" t="n"/>
      <c r="C9" s="10" t="n"/>
      <c r="D9" s="10" t="n"/>
    </row>
    <row r="10">
      <c r="A10" s="2" t="inlineStr">
        <is>
          <t>Purchases of stock-in-trade</t>
        </is>
      </c>
      <c r="B10" s="10" t="n"/>
      <c r="C10" s="10" t="n"/>
      <c r="D10" s="10" t="n"/>
    </row>
    <row r="11">
      <c r="A11" s="2" t="inlineStr">
        <is>
          <t>Changes in inventories of finished goods, work-in-progress and stock-in-trade</t>
        </is>
      </c>
      <c r="B11" s="10" t="n"/>
      <c r="C11" s="10" t="n"/>
      <c r="D11" s="10" t="n"/>
    </row>
    <row r="12">
      <c r="A12" s="2" t="inlineStr">
        <is>
          <t>Employee benefits expense</t>
        </is>
      </c>
      <c r="B12" s="10" t="n"/>
      <c r="C12" s="10" t="n"/>
      <c r="D12" s="10" t="n"/>
    </row>
    <row r="13">
      <c r="A13" s="2" t="inlineStr">
        <is>
          <t>Other expenses</t>
        </is>
      </c>
      <c r="B13" s="10" t="n"/>
      <c r="C13" s="10" t="n"/>
      <c r="D13" s="10" t="n"/>
    </row>
    <row r="14">
      <c r="A14" s="3" t="inlineStr">
        <is>
          <t>Total operating expenses</t>
        </is>
      </c>
      <c r="B14" s="11">
        <f>SUM(B9:B13)</f>
        <v/>
      </c>
      <c r="C14" s="11">
        <f>SUM(C9:C13)</f>
        <v/>
      </c>
      <c r="D14" s="11">
        <f>SUM(D9:D13)</f>
        <v/>
      </c>
    </row>
    <row r="15">
      <c r="A15" s="3" t="inlineStr">
        <is>
          <t>EBITDA</t>
        </is>
      </c>
      <c r="B15" s="11">
        <f>B6-B14</f>
        <v/>
      </c>
      <c r="C15" s="11">
        <f>C6-C14</f>
        <v/>
      </c>
      <c r="D15" s="11">
        <f>D6-D14</f>
        <v/>
      </c>
    </row>
    <row r="16">
      <c r="A16" s="2" t="inlineStr">
        <is>
          <t>Depreciation and amortisation expense</t>
        </is>
      </c>
      <c r="B16" s="10" t="n"/>
      <c r="C16" s="10" t="n"/>
      <c r="D16" s="10" t="n"/>
    </row>
    <row r="17">
      <c r="A17" s="3" t="inlineStr">
        <is>
          <t>EBIT</t>
        </is>
      </c>
      <c r="B17" s="11">
        <f>B15-B16</f>
        <v/>
      </c>
      <c r="C17" s="11">
        <f>C15-C16</f>
        <v/>
      </c>
      <c r="D17" s="11">
        <f>D15-D16</f>
        <v/>
      </c>
    </row>
    <row r="18">
      <c r="A18" s="2" t="inlineStr">
        <is>
          <t>Finance costs</t>
        </is>
      </c>
      <c r="B18" s="10" t="n"/>
      <c r="C18" s="10" t="n"/>
      <c r="D18" s="10" t="n"/>
    </row>
    <row r="19">
      <c r="A19" s="2" t="inlineStr">
        <is>
          <t>Exceptional and other items</t>
        </is>
      </c>
      <c r="B19" s="10" t="n"/>
      <c r="C19" s="10" t="n"/>
      <c r="D19" s="10" t="n"/>
    </row>
    <row r="20">
      <c r="A20" s="3" t="inlineStr">
        <is>
          <t>Profit before tax</t>
        </is>
      </c>
      <c r="B20" s="11">
        <f>B17+B7-B18-B19</f>
        <v/>
      </c>
      <c r="C20" s="11">
        <f>C17+C7-C18-C19</f>
        <v/>
      </c>
      <c r="D20" s="11">
        <f>D17+D7-D18-D19</f>
        <v/>
      </c>
    </row>
    <row r="21">
      <c r="A21" s="2" t="inlineStr">
        <is>
          <t>Current tax</t>
        </is>
      </c>
      <c r="B21" s="10" t="n"/>
      <c r="C21" s="10" t="n"/>
      <c r="D21" s="10" t="n"/>
    </row>
    <row r="22">
      <c r="A22" s="2" t="inlineStr">
        <is>
          <t>Deferred tax</t>
        </is>
      </c>
      <c r="B22" s="10" t="n"/>
      <c r="C22" s="10" t="n"/>
      <c r="D22" s="10" t="n"/>
    </row>
    <row r="23">
      <c r="A23" s="3" t="inlineStr">
        <is>
          <t>Profit from continuing operations</t>
        </is>
      </c>
      <c r="B23" s="11">
        <f>B20-B21-B22</f>
        <v/>
      </c>
      <c r="C23" s="11">
        <f>C20-C21-C22</f>
        <v/>
      </c>
      <c r="D23" s="11">
        <f>D20-D21-D22</f>
        <v/>
      </c>
    </row>
    <row r="24">
      <c r="A24" s="2" t="inlineStr">
        <is>
          <t>Profit/(loss) from discontinued operations</t>
        </is>
      </c>
      <c r="B24" s="10" t="n"/>
      <c r="C24" s="10" t="n"/>
      <c r="D24" s="10" t="n"/>
    </row>
    <row r="25">
      <c r="A25" s="3" t="inlineStr">
        <is>
          <t>Profit after tax</t>
        </is>
      </c>
      <c r="B25" s="11">
        <f>B23+B24</f>
        <v/>
      </c>
      <c r="C25" s="11">
        <f>C23+C24</f>
        <v/>
      </c>
      <c r="D25" s="11">
        <f>D23+D24</f>
        <v/>
      </c>
    </row>
    <row r="26">
      <c r="A26" s="2" t="inlineStr">
        <is>
          <t>Profit after tax as printed</t>
        </is>
      </c>
      <c r="B26" s="10" t="n"/>
      <c r="C26" s="10" t="n"/>
      <c r="D26" s="10" t="n"/>
    </row>
    <row r="27">
      <c r="A27" s="3" t="inlineStr">
        <is>
          <t>Check: profit after tax (0, or within the rounding allowed)</t>
        </is>
      </c>
      <c r="B27" s="11">
        <f>B25-B26</f>
        <v/>
      </c>
      <c r="C27" s="11">
        <f>C25-C26</f>
        <v/>
      </c>
      <c r="D27" s="11">
        <f>D25-D26</f>
        <v/>
      </c>
    </row>
    <row r="29">
      <c r="A29" s="8" t="inlineStr">
        <is>
          <t>Equity and liabilities</t>
        </is>
      </c>
      <c r="B29" s="9" t="n"/>
      <c r="C29" s="9" t="n"/>
      <c r="D29" s="9" t="n"/>
    </row>
    <row r="30">
      <c r="A30" s="2" t="inlineStr">
        <is>
          <t>Share capital</t>
        </is>
      </c>
      <c r="B30" s="10" t="n"/>
      <c r="C30" s="10" t="n"/>
      <c r="D30" s="10" t="n"/>
    </row>
    <row r="31">
      <c r="A31" s="2" t="inlineStr">
        <is>
          <t>Other equity</t>
        </is>
      </c>
      <c r="B31" s="10" t="n"/>
      <c r="C31" s="10" t="n"/>
      <c r="D31" s="10" t="n"/>
    </row>
    <row r="32">
      <c r="A32" s="2" t="inlineStr">
        <is>
          <t>Non-controlling interests</t>
        </is>
      </c>
      <c r="B32" s="10" t="n"/>
      <c r="C32" s="10" t="n"/>
      <c r="D32" s="10" t="n"/>
    </row>
    <row r="33">
      <c r="A33" s="3" t="inlineStr">
        <is>
          <t>Total equity</t>
        </is>
      </c>
      <c r="B33" s="11">
        <f>SUM(B30:B32)</f>
        <v/>
      </c>
      <c r="C33" s="11">
        <f>SUM(C30:C32)</f>
        <v/>
      </c>
      <c r="D33" s="11">
        <f>SUM(D30:D32)</f>
        <v/>
      </c>
    </row>
    <row r="34">
      <c r="A34" s="2" t="inlineStr">
        <is>
          <t>Long-term borrowings</t>
        </is>
      </c>
      <c r="B34" s="10" t="n"/>
      <c r="C34" s="10" t="n"/>
      <c r="D34" s="10" t="n"/>
    </row>
    <row r="35">
      <c r="A35" s="2" t="inlineStr">
        <is>
          <t>Short-term borrowings</t>
        </is>
      </c>
      <c r="B35" s="10" t="n"/>
      <c r="C35" s="10" t="n"/>
      <c r="D35" s="10" t="n"/>
    </row>
    <row r="36">
      <c r="A36" s="2" t="inlineStr">
        <is>
          <t>Lease liabilities</t>
        </is>
      </c>
      <c r="B36" s="10" t="n"/>
      <c r="C36" s="10" t="n"/>
      <c r="D36" s="10" t="n"/>
    </row>
    <row r="37">
      <c r="A37" s="2" t="inlineStr">
        <is>
          <t>Trade payables</t>
        </is>
      </c>
      <c r="B37" s="10" t="n"/>
      <c r="C37" s="10" t="n"/>
      <c r="D37" s="10" t="n"/>
    </row>
    <row r="38">
      <c r="A38" s="2" t="inlineStr">
        <is>
          <t>Provisions</t>
        </is>
      </c>
      <c r="B38" s="10" t="n"/>
      <c r="C38" s="10" t="n"/>
      <c r="D38" s="10" t="n"/>
    </row>
    <row r="39">
      <c r="A39" s="2" t="inlineStr">
        <is>
          <t>Deferred tax liabilities (net)</t>
        </is>
      </c>
      <c r="B39" s="10" t="n"/>
      <c r="C39" s="10" t="n"/>
      <c r="D39" s="10" t="n"/>
    </row>
    <row r="40">
      <c r="A40" s="2" t="inlineStr">
        <is>
          <t>Other liabilities</t>
        </is>
      </c>
      <c r="B40" s="10" t="n"/>
      <c r="C40" s="10" t="n"/>
      <c r="D40" s="10" t="n"/>
    </row>
    <row r="41">
      <c r="A41" s="3" t="inlineStr">
        <is>
          <t>Total equity and liabilities</t>
        </is>
      </c>
      <c r="B41" s="11">
        <f>B33+SUM(B34:B40)</f>
        <v/>
      </c>
      <c r="C41" s="11">
        <f>C33+SUM(C34:C40)</f>
        <v/>
      </c>
      <c r="D41" s="11">
        <f>D33+SUM(D34:D40)</f>
        <v/>
      </c>
    </row>
    <row r="42">
      <c r="A42" s="8" t="inlineStr">
        <is>
          <t>Assets</t>
        </is>
      </c>
      <c r="B42" s="9" t="n"/>
      <c r="C42" s="9" t="n"/>
      <c r="D42" s="9" t="n"/>
    </row>
    <row r="43">
      <c r="A43" s="2" t="inlineStr">
        <is>
          <t>Property, plant and equipment</t>
        </is>
      </c>
      <c r="B43" s="10" t="n"/>
      <c r="C43" s="10" t="n"/>
      <c r="D43" s="10" t="n"/>
    </row>
    <row r="44">
      <c r="A44" s="2" t="inlineStr">
        <is>
          <t>Capital work-in-progress</t>
        </is>
      </c>
      <c r="B44" s="10" t="n"/>
      <c r="C44" s="10" t="n"/>
      <c r="D44" s="10" t="n"/>
    </row>
    <row r="45">
      <c r="A45" s="2" t="inlineStr">
        <is>
          <t>Intangible assets</t>
        </is>
      </c>
      <c r="B45" s="10" t="n"/>
      <c r="C45" s="10" t="n"/>
      <c r="D45" s="10" t="n"/>
    </row>
    <row r="46">
      <c r="A46" s="2" t="inlineStr">
        <is>
          <t>Investments</t>
        </is>
      </c>
      <c r="B46" s="10" t="n"/>
      <c r="C46" s="10" t="n"/>
      <c r="D46" s="10" t="n"/>
    </row>
    <row r="47">
      <c r="A47" s="2" t="inlineStr">
        <is>
          <t>Inventories</t>
        </is>
      </c>
      <c r="B47" s="10" t="n"/>
      <c r="C47" s="10" t="n"/>
      <c r="D47" s="10" t="n"/>
    </row>
    <row r="48">
      <c r="A48" s="2" t="inlineStr">
        <is>
          <t>Trade receivables</t>
        </is>
      </c>
      <c r="B48" s="10" t="n"/>
      <c r="C48" s="10" t="n"/>
      <c r="D48" s="10" t="n"/>
    </row>
    <row r="49">
      <c r="A49" s="2" t="inlineStr">
        <is>
          <t>Cash and bank balances</t>
        </is>
      </c>
      <c r="B49" s="10" t="n"/>
      <c r="C49" s="10" t="n"/>
      <c r="D49" s="10" t="n"/>
    </row>
    <row r="50">
      <c r="A50" s="2" t="inlineStr">
        <is>
          <t>Loans and advances</t>
        </is>
      </c>
      <c r="B50" s="10" t="n"/>
      <c r="C50" s="10" t="n"/>
      <c r="D50" s="10" t="n"/>
    </row>
    <row r="51">
      <c r="A51" s="2" t="inlineStr">
        <is>
          <t>Other assets</t>
        </is>
      </c>
      <c r="B51" s="10" t="n"/>
      <c r="C51" s="10" t="n"/>
      <c r="D51" s="10" t="n"/>
    </row>
    <row r="52">
      <c r="A52" s="3" t="inlineStr">
        <is>
          <t>Total assets</t>
        </is>
      </c>
      <c r="B52" s="11">
        <f>SUM(B43:B51)</f>
        <v/>
      </c>
      <c r="C52" s="11">
        <f>SUM(C43:C51)</f>
        <v/>
      </c>
      <c r="D52" s="11">
        <f>SUM(D43:D51)</f>
        <v/>
      </c>
    </row>
    <row r="53">
      <c r="A53" s="2" t="inlineStr">
        <is>
          <t>Total assets as printed</t>
        </is>
      </c>
      <c r="B53" s="10" t="n"/>
      <c r="C53" s="10" t="n"/>
      <c r="D53" s="10" t="n"/>
    </row>
    <row r="54">
      <c r="A54" s="3" t="inlineStr">
        <is>
          <t>Check: balance sheet balances (0, or within the rounding allowed)</t>
        </is>
      </c>
      <c r="B54" s="11">
        <f>B52-B41</f>
        <v/>
      </c>
      <c r="C54" s="11">
        <f>C52-C41</f>
        <v/>
      </c>
      <c r="D54" s="11">
        <f>D52-D41</f>
        <v/>
      </c>
    </row>
    <row r="55">
      <c r="A55" s="3" t="inlineStr">
        <is>
          <t>Check: total assets as printed (0, or within the rounding allowed)</t>
        </is>
      </c>
      <c r="B55" s="11">
        <f>B52-B53</f>
        <v/>
      </c>
      <c r="C55" s="11">
        <f>C52-C53</f>
        <v/>
      </c>
      <c r="D55" s="11">
        <f>D52-D53</f>
        <v/>
      </c>
    </row>
  </sheetData>
  <conditionalFormatting sqref="B27:D27">
    <cfRule type="expression" priority="1" dxfId="0">
      <formula>ABS(B27)&gt;RoundingAllowed</formula>
    </cfRule>
  </conditionalFormatting>
  <conditionalFormatting sqref="B54:D55">
    <cfRule type="expression" priority="2" dxfId="0">
      <formula>ABS(B54)&gt;RoundingAllowed</formula>
    </cfRule>
  </conditionalFormatting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4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5" customWidth="1" min="2" max="2"/>
    <col width="15" customWidth="1" min="3" max="3"/>
    <col width="15" customWidth="1" min="4" max="4"/>
  </cols>
  <sheetData>
    <row r="1">
      <c r="A1" s="1" t="inlineStr">
        <is>
          <t>Historical analysis</t>
        </is>
      </c>
    </row>
    <row r="2">
      <c r="A2" s="2" t="inlineStr">
        <is>
          <t>Worked out from Historicals, to set the assumptions against.</t>
        </is>
      </c>
    </row>
    <row r="4">
      <c r="A4" s="6" t="inlineStr">
        <is>
          <t>Ratio</t>
        </is>
      </c>
      <c r="B4" s="7">
        <f>Historicals!B4</f>
        <v/>
      </c>
      <c r="C4" s="7">
        <f>Historicals!C4</f>
        <v/>
      </c>
      <c r="D4" s="7">
        <f>Historicals!D4</f>
        <v/>
      </c>
    </row>
    <row r="5">
      <c r="A5" s="8" t="inlineStr">
        <is>
          <t>Growth and margins</t>
        </is>
      </c>
      <c r="B5" s="9" t="n"/>
      <c r="C5" s="9" t="n"/>
      <c r="D5" s="9" t="n"/>
    </row>
    <row r="6">
      <c r="A6" s="2" t="inlineStr">
        <is>
          <t>Revenue growth</t>
        </is>
      </c>
      <c r="C6" s="12">
        <f>IFERROR(Historicals!C6/Historicals!B6-1,"")</f>
        <v/>
      </c>
      <c r="D6" s="12">
        <f>IFERROR(Historicals!D6/Historicals!C6-1,"")</f>
        <v/>
      </c>
    </row>
    <row r="7">
      <c r="A7" s="2" t="inlineStr">
        <is>
          <t>Material costs (% of revenue)</t>
        </is>
      </c>
      <c r="B7" s="12">
        <f>IFERROR(SUM(Historicals!B9:B11)/Historicals!B6,"")</f>
        <v/>
      </c>
      <c r="C7" s="12">
        <f>IFERROR(SUM(Historicals!C9:C11)/Historicals!C6,"")</f>
        <v/>
      </c>
      <c r="D7" s="12">
        <f>IFERROR(SUM(Historicals!D9:D11)/Historicals!D6,"")</f>
        <v/>
      </c>
    </row>
    <row r="8">
      <c r="A8" s="2" t="inlineStr">
        <is>
          <t>Employee benefits (% of revenue)</t>
        </is>
      </c>
      <c r="B8" s="12">
        <f>IFERROR(Historicals!B12/Historicals!B6,"")</f>
        <v/>
      </c>
      <c r="C8" s="12">
        <f>IFERROR(Historicals!C12/Historicals!C6,"")</f>
        <v/>
      </c>
      <c r="D8" s="12">
        <f>IFERROR(Historicals!D12/Historicals!D6,"")</f>
        <v/>
      </c>
    </row>
    <row r="9">
      <c r="A9" s="2" t="inlineStr">
        <is>
          <t>Other expenses (% of revenue)</t>
        </is>
      </c>
      <c r="B9" s="12">
        <f>IFERROR(Historicals!B13/Historicals!B6,"")</f>
        <v/>
      </c>
      <c r="C9" s="12">
        <f>IFERROR(Historicals!C13/Historicals!C6,"")</f>
        <v/>
      </c>
      <c r="D9" s="12">
        <f>IFERROR(Historicals!D13/Historicals!D6,"")</f>
        <v/>
      </c>
    </row>
    <row r="10">
      <c r="A10" s="2" t="inlineStr">
        <is>
          <t>EBITDA margin</t>
        </is>
      </c>
      <c r="B10" s="12">
        <f>IFERROR(Historicals!B15/Historicals!B6,"")</f>
        <v/>
      </c>
      <c r="C10" s="12">
        <f>IFERROR(Historicals!C15/Historicals!C6,"")</f>
        <v/>
      </c>
      <c r="D10" s="12">
        <f>IFERROR(Historicals!D15/Historicals!D6,"")</f>
        <v/>
      </c>
    </row>
    <row r="11">
      <c r="A11" s="2" t="inlineStr">
        <is>
          <t>Profit after tax margin</t>
        </is>
      </c>
      <c r="B11" s="12">
        <f>IFERROR(Historicals!B25/Historicals!B6,"")</f>
        <v/>
      </c>
      <c r="C11" s="12">
        <f>IFERROR(Historicals!C25/Historicals!C6,"")</f>
        <v/>
      </c>
      <c r="D11" s="12">
        <f>IFERROR(Historicals!D25/Historicals!D6,"")</f>
        <v/>
      </c>
    </row>
    <row r="12">
      <c r="A12" s="2" t="inlineStr">
        <is>
          <t>Effective tax rate</t>
        </is>
      </c>
      <c r="B12" s="12">
        <f>IFERROR((Historicals!B21+Historicals!B22)/Historicals!B20,"")</f>
        <v/>
      </c>
      <c r="C12" s="12">
        <f>IFERROR((Historicals!C21+Historicals!C22)/Historicals!C20,"")</f>
        <v/>
      </c>
      <c r="D12" s="12">
        <f>IFERROR((Historicals!D21+Historicals!D22)/Historicals!D20,"")</f>
        <v/>
      </c>
    </row>
    <row r="14">
      <c r="A14" s="8" t="inlineStr">
        <is>
          <t>Working capital</t>
        </is>
      </c>
      <c r="B14" s="9" t="n"/>
      <c r="C14" s="9" t="n"/>
      <c r="D14" s="9" t="n"/>
    </row>
    <row r="15">
      <c r="A15" s="2" t="inlineStr">
        <is>
          <t>Receivable days (on revenue)</t>
        </is>
      </c>
      <c r="B15" s="13">
        <f>IFERROR(Historicals!B48/Historicals!B6*365,"")</f>
        <v/>
      </c>
      <c r="C15" s="13">
        <f>IFERROR(Historicals!C48/Historicals!C6*365,"")</f>
        <v/>
      </c>
      <c r="D15" s="13">
        <f>IFERROR(Historicals!D48/Historicals!D6*365,"")</f>
        <v/>
      </c>
    </row>
    <row r="16">
      <c r="A16" s="2" t="inlineStr">
        <is>
          <t>Inventory days (on material costs)</t>
        </is>
      </c>
      <c r="B16" s="13">
        <f>IFERROR(Historicals!B47/SUM(Historicals!B9:B11)*365,"")</f>
        <v/>
      </c>
      <c r="C16" s="13">
        <f>IFERROR(Historicals!C47/SUM(Historicals!C9:C11)*365,"")</f>
        <v/>
      </c>
      <c r="D16" s="13">
        <f>IFERROR(Historicals!D47/SUM(Historicals!D9:D11)*365,"")</f>
        <v/>
      </c>
    </row>
    <row r="17">
      <c r="A17" s="2" t="inlineStr">
        <is>
          <t>Payable days (on material costs)</t>
        </is>
      </c>
      <c r="B17" s="13">
        <f>IFERROR(Historicals!B37/SUM(Historicals!B9:B11)*365,"")</f>
        <v/>
      </c>
      <c r="C17" s="13">
        <f>IFERROR(Historicals!C37/SUM(Historicals!C9:C11)*365,"")</f>
        <v/>
      </c>
      <c r="D17" s="13">
        <f>IFERROR(Historicals!D37/SUM(Historicals!D9:D11)*365,"")</f>
        <v/>
      </c>
    </row>
    <row r="19">
      <c r="A19" s="8" t="inlineStr">
        <is>
          <t>Fixed assets and returns</t>
        </is>
      </c>
      <c r="B19" s="9" t="n"/>
      <c r="C19" s="9" t="n"/>
      <c r="D19" s="9" t="n"/>
    </row>
    <row r="20">
      <c r="A20" s="2" t="inlineStr">
        <is>
          <t>Depreciation (% of opening fixed assets)</t>
        </is>
      </c>
      <c r="C20" s="12">
        <f>IFERROR(Historicals!C16/SUM(Historicals!B43:B45),"")</f>
        <v/>
      </c>
      <c r="D20" s="12">
        <f>IFERROR(Historicals!D16/SUM(Historicals!C43:C45),"")</f>
        <v/>
      </c>
    </row>
    <row r="21">
      <c r="A21" s="2" t="inlineStr">
        <is>
          <t>Capital expenditure (% of revenue)</t>
        </is>
      </c>
      <c r="C21" s="12">
        <f>IFERROR((SUM(Historicals!C43:C45)-SUM(Historicals!B43:B45)+Historicals!C16)/Historicals!C6,"")</f>
        <v/>
      </c>
      <c r="D21" s="12">
        <f>IFERROR((SUM(Historicals!D43:D45)-SUM(Historicals!C43:C45)+Historicals!D16)/Historicals!D6,"")</f>
        <v/>
      </c>
    </row>
    <row r="22">
      <c r="A22" s="2" t="inlineStr">
        <is>
          <t>Return on capital employed</t>
        </is>
      </c>
      <c r="B22" s="12">
        <f>IFERROR(Historicals!B17/(Historicals!B33+SUM(Historicals!B34:B36)),"")</f>
        <v/>
      </c>
      <c r="C22" s="12">
        <f>IFERROR(Historicals!C17/(Historicals!C33+SUM(Historicals!C34:C36)),"")</f>
        <v/>
      </c>
      <c r="D22" s="12">
        <f>IFERROR(Historicals!D17/(Historicals!D33+SUM(Historicals!D34:D36)),"")</f>
        <v/>
      </c>
    </row>
    <row r="23">
      <c r="A23" s="2" t="inlineStr">
        <is>
          <t>Debt to equity</t>
        </is>
      </c>
      <c r="B23" s="14">
        <f>IFERROR(SUM(Historicals!B34:B36)/Historicals!B33,"")</f>
        <v/>
      </c>
      <c r="C23" s="14">
        <f>IFERROR(SUM(Historicals!C34:C36)/Historicals!C33,"")</f>
        <v/>
      </c>
      <c r="D23" s="14">
        <f>IFERROR(SUM(Historicals!D34:D36)/Historicals!D33,"")</f>
        <v/>
      </c>
    </row>
    <row r="24">
      <c r="A24" s="2" t="inlineStr">
        <is>
          <t>Net debt</t>
        </is>
      </c>
      <c r="B24" s="15">
        <f>SUM(Historicals!B34:B36)-Historicals!B49</f>
        <v/>
      </c>
      <c r="C24" s="15">
        <f>SUM(Historicals!C34:C36)-Historicals!C49</f>
        <v/>
      </c>
      <c r="D24" s="15">
        <f>SUM(Historicals!D34:D36)-Historicals!D49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Assumptions</t>
        </is>
      </c>
    </row>
    <row r="2">
      <c r="A2" s="2" t="inlineStr">
        <is>
          <t>Choose the scenario; blue cells are yours to set. The drivers in use follow the scenario chosen.</t>
        </is>
      </c>
    </row>
    <row r="4">
      <c r="A4" s="3" t="inlineStr">
        <is>
          <t>Scenario in use</t>
        </is>
      </c>
      <c r="C4" s="16" t="inlineStr">
        <is>
          <t>Base</t>
        </is>
      </c>
      <c r="D4" s="2">
        <f>MATCH(C4,{"Base","Upside","Downside"},0)</f>
        <v/>
      </c>
    </row>
    <row r="6">
      <c r="A6" s="6" t="inlineStr">
        <is>
          <t>₹ lakhs</t>
        </is>
      </c>
      <c r="B6" s="7" t="inlineStr"/>
      <c r="C6" s="7">
        <f>"FY "&amp;(Historicals!$D$3-1)&amp;"-"&amp;RIGHT(Historicals!$D$3,2)&amp;" (actual)"</f>
        <v/>
      </c>
      <c r="D6" s="7">
        <f>"FY "&amp;(Historicals!$D$3+1-1)&amp;"-"&amp;RIGHT(Historicals!$D$3+1,2)&amp;" (forecast)"</f>
        <v/>
      </c>
      <c r="E6" s="7">
        <f>"FY "&amp;(Historicals!$D$3+2-1)&amp;"-"&amp;RIGHT(Historicals!$D$3+2,2)&amp;" (forecast)"</f>
        <v/>
      </c>
      <c r="F6" s="7">
        <f>"FY "&amp;(Historicals!$D$3+3-1)&amp;"-"&amp;RIGHT(Historicals!$D$3+3,2)&amp;" (forecast)"</f>
        <v/>
      </c>
      <c r="G6" s="7">
        <f>"FY "&amp;(Historicals!$D$3+4-1)&amp;"-"&amp;RIGHT(Historicals!$D$3+4,2)&amp;" (forecast)"</f>
        <v/>
      </c>
      <c r="H6" s="7">
        <f>"FY "&amp;(Historicals!$D$3+5-1)&amp;"-"&amp;RIGHT(Historicals!$D$3+5,2)&amp;" (forecast)"</f>
        <v/>
      </c>
    </row>
    <row r="7">
      <c r="A7" s="8" t="inlineStr">
        <is>
          <t>Drivers in use</t>
        </is>
      </c>
      <c r="B7" s="9" t="n"/>
      <c r="C7" s="9" t="n"/>
      <c r="D7" s="9" t="n"/>
      <c r="E7" s="9" t="n"/>
      <c r="F7" s="9" t="n"/>
      <c r="G7" s="9" t="n"/>
      <c r="H7" s="9" t="n"/>
    </row>
    <row r="8">
      <c r="A8" s="2" t="inlineStr">
        <is>
          <t>Revenue growth</t>
        </is>
      </c>
      <c r="D8" s="12">
        <f>CHOOSE($D$4,D27,D34,D41)</f>
        <v/>
      </c>
      <c r="E8" s="12">
        <f>CHOOSE($D$4,E27,E34,E41)</f>
        <v/>
      </c>
      <c r="F8" s="12">
        <f>CHOOSE($D$4,F27,F34,F41)</f>
        <v/>
      </c>
      <c r="G8" s="12">
        <f>CHOOSE($D$4,G27,G34,G41)</f>
        <v/>
      </c>
      <c r="H8" s="12">
        <f>CHOOSE($D$4,H27,H34,H41)</f>
        <v/>
      </c>
    </row>
    <row r="9">
      <c r="A9" s="2" t="inlineStr">
        <is>
          <t>Material costs (% of revenue)</t>
        </is>
      </c>
      <c r="D9" s="12">
        <f>CHOOSE($D$4,D28,D35,D42)</f>
        <v/>
      </c>
      <c r="E9" s="12">
        <f>CHOOSE($D$4,E28,E35,E42)</f>
        <v/>
      </c>
      <c r="F9" s="12">
        <f>CHOOSE($D$4,F28,F35,F42)</f>
        <v/>
      </c>
      <c r="G9" s="12">
        <f>CHOOSE($D$4,G28,G35,G42)</f>
        <v/>
      </c>
      <c r="H9" s="12">
        <f>CHOOSE($D$4,H28,H35,H42)</f>
        <v/>
      </c>
    </row>
    <row r="10">
      <c r="A10" s="2" t="inlineStr">
        <is>
          <t>Employee benefits (% of revenue)</t>
        </is>
      </c>
      <c r="D10" s="12">
        <f>CHOOSE($D$4,D29,D36,D43)</f>
        <v/>
      </c>
      <c r="E10" s="12">
        <f>CHOOSE($D$4,E29,E36,E43)</f>
        <v/>
      </c>
      <c r="F10" s="12">
        <f>CHOOSE($D$4,F29,F36,F43)</f>
        <v/>
      </c>
      <c r="G10" s="12">
        <f>CHOOSE($D$4,G29,G36,G43)</f>
        <v/>
      </c>
      <c r="H10" s="12">
        <f>CHOOSE($D$4,H29,H36,H43)</f>
        <v/>
      </c>
    </row>
    <row r="11">
      <c r="A11" s="2" t="inlineStr">
        <is>
          <t>Other expenses (% of revenue)</t>
        </is>
      </c>
      <c r="D11" s="12">
        <f>CHOOSE($D$4,D30,D37,D44)</f>
        <v/>
      </c>
      <c r="E11" s="12">
        <f>CHOOSE($D$4,E30,E37,E44)</f>
        <v/>
      </c>
      <c r="F11" s="12">
        <f>CHOOSE($D$4,F30,F37,F44)</f>
        <v/>
      </c>
      <c r="G11" s="12">
        <f>CHOOSE($D$4,G30,G37,G44)</f>
        <v/>
      </c>
      <c r="H11" s="12">
        <f>CHOOSE($D$4,H30,H37,H44)</f>
        <v/>
      </c>
    </row>
    <row r="12">
      <c r="A12" s="2" t="inlineStr">
        <is>
          <t>Capital expenditure (% of revenue)</t>
        </is>
      </c>
      <c r="D12" s="12">
        <f>CHOOSE($D$4,D31,D38,D45)</f>
        <v/>
      </c>
      <c r="E12" s="12">
        <f>CHOOSE($D$4,E31,E38,E45)</f>
        <v/>
      </c>
      <c r="F12" s="12">
        <f>CHOOSE($D$4,F31,F38,F45)</f>
        <v/>
      </c>
      <c r="G12" s="12">
        <f>CHOOSE($D$4,G31,G38,G45)</f>
        <v/>
      </c>
      <c r="H12" s="12">
        <f>CHOOSE($D$4,H31,H38,H45)</f>
        <v/>
      </c>
    </row>
    <row r="13">
      <c r="A13" s="2" t="inlineStr">
        <is>
          <t>Depreciation (% of opening fixed assets)</t>
        </is>
      </c>
      <c r="C13" s="17">
        <f>Analysis!D20</f>
        <v/>
      </c>
      <c r="D13" s="18" t="n">
        <v>0.08</v>
      </c>
      <c r="E13" s="12">
        <f>D13</f>
        <v/>
      </c>
      <c r="F13" s="12">
        <f>E13</f>
        <v/>
      </c>
      <c r="G13" s="12">
        <f>F13</f>
        <v/>
      </c>
      <c r="H13" s="12">
        <f>G13</f>
        <v/>
      </c>
    </row>
    <row r="14">
      <c r="A14" s="2" t="inlineStr">
        <is>
          <t>Receivable days (on revenue)</t>
        </is>
      </c>
      <c r="C14" s="19">
        <f>Analysis!D15</f>
        <v/>
      </c>
      <c r="D14" s="20" t="n">
        <v>30</v>
      </c>
      <c r="E14" s="13">
        <f>D14</f>
        <v/>
      </c>
      <c r="F14" s="13">
        <f>E14</f>
        <v/>
      </c>
      <c r="G14" s="13">
        <f>F14</f>
        <v/>
      </c>
      <c r="H14" s="13">
        <f>G14</f>
        <v/>
      </c>
    </row>
    <row r="15">
      <c r="A15" s="2" t="inlineStr">
        <is>
          <t>Inventory days (on material costs)</t>
        </is>
      </c>
      <c r="C15" s="19">
        <f>Analysis!D16</f>
        <v/>
      </c>
      <c r="D15" s="20" t="n">
        <v>60</v>
      </c>
      <c r="E15" s="13">
        <f>D15</f>
        <v/>
      </c>
      <c r="F15" s="13">
        <f>E15</f>
        <v/>
      </c>
      <c r="G15" s="13">
        <f>F15</f>
        <v/>
      </c>
      <c r="H15" s="13">
        <f>G15</f>
        <v/>
      </c>
    </row>
    <row r="16">
      <c r="A16" s="2" t="inlineStr">
        <is>
          <t>Payable days (on material costs)</t>
        </is>
      </c>
      <c r="C16" s="19">
        <f>Analysis!D17</f>
        <v/>
      </c>
      <c r="D16" s="20" t="n">
        <v>45</v>
      </c>
      <c r="E16" s="13">
        <f>D16</f>
        <v/>
      </c>
      <c r="F16" s="13">
        <f>E16</f>
        <v/>
      </c>
      <c r="G16" s="13">
        <f>F16</f>
        <v/>
      </c>
      <c r="H16" s="13">
        <f>G16</f>
        <v/>
      </c>
    </row>
    <row r="17">
      <c r="A17" s="2" t="inlineStr">
        <is>
          <t>Tax rate</t>
        </is>
      </c>
      <c r="C17" s="17">
        <f>Analysis!D12</f>
        <v/>
      </c>
      <c r="D17" s="18" t="n">
        <v>0.2517</v>
      </c>
      <c r="E17" s="12">
        <f>D17</f>
        <v/>
      </c>
      <c r="F17" s="12">
        <f>E17</f>
        <v/>
      </c>
      <c r="G17" s="12">
        <f>F17</f>
        <v/>
      </c>
      <c r="H17" s="12">
        <f>G17</f>
        <v/>
      </c>
    </row>
    <row r="18">
      <c r="A18" s="2" t="inlineStr">
        <is>
          <t>Interest rate on opening borrowings and leases</t>
        </is>
      </c>
      <c r="D18" s="18" t="n">
        <v>0.09</v>
      </c>
      <c r="E18" s="12">
        <f>D18</f>
        <v/>
      </c>
      <c r="F18" s="12">
        <f>E18</f>
        <v/>
      </c>
      <c r="G18" s="12">
        <f>F18</f>
        <v/>
      </c>
      <c r="H18" s="12">
        <f>G18</f>
        <v/>
      </c>
    </row>
    <row r="19">
      <c r="A19" s="2" t="inlineStr">
        <is>
          <t>Yield on opening cash and investments</t>
        </is>
      </c>
      <c r="D19" s="18" t="n">
        <v>0.05</v>
      </c>
      <c r="E19" s="12">
        <f>D19</f>
        <v/>
      </c>
      <c r="F19" s="12">
        <f>E19</f>
        <v/>
      </c>
      <c r="G19" s="12">
        <f>F19</f>
        <v/>
      </c>
      <c r="H19" s="12">
        <f>G19</f>
        <v/>
      </c>
    </row>
    <row r="20">
      <c r="A20" s="2" t="inlineStr">
        <is>
          <t>Long-term borrowings repaid (% of opening)</t>
        </is>
      </c>
      <c r="D20" s="18" t="n">
        <v>0.2</v>
      </c>
      <c r="E20" s="12">
        <f>D20</f>
        <v/>
      </c>
      <c r="F20" s="12">
        <f>E20</f>
        <v/>
      </c>
      <c r="G20" s="12">
        <f>F20</f>
        <v/>
      </c>
      <c r="H20" s="12">
        <f>G20</f>
        <v/>
      </c>
    </row>
    <row r="21">
      <c r="A21" s="2" t="inlineStr">
        <is>
          <t>New long-term borrowings (₹ lakhs)</t>
        </is>
      </c>
      <c r="D21" s="10" t="n">
        <v>0</v>
      </c>
      <c r="E21" s="15">
        <f>D21</f>
        <v/>
      </c>
      <c r="F21" s="15">
        <f>E21</f>
        <v/>
      </c>
      <c r="G21" s="15">
        <f>F21</f>
        <v/>
      </c>
      <c r="H21" s="15">
        <f>G21</f>
        <v/>
      </c>
    </row>
    <row r="22">
      <c r="A22" s="2" t="inlineStr">
        <is>
          <t>Dividend payout (% of profit after tax)</t>
        </is>
      </c>
      <c r="D22" s="18" t="n">
        <v>0.2</v>
      </c>
      <c r="E22" s="12">
        <f>D22</f>
        <v/>
      </c>
      <c r="F22" s="12">
        <f>E22</f>
        <v/>
      </c>
      <c r="G22" s="12">
        <f>F22</f>
        <v/>
      </c>
      <c r="H22" s="12">
        <f>G22</f>
        <v/>
      </c>
    </row>
    <row r="23">
      <c r="A23" s="21" t="inlineStr">
        <is>
          <t>Column C shows the last actual year's figure from Analysis, where there is one. Later years follow the first forecast year unless you overwrite them.</t>
        </is>
      </c>
    </row>
    <row r="26">
      <c r="A26" s="8" t="inlineStr">
        <is>
          <t>Base case</t>
        </is>
      </c>
      <c r="B26" s="9" t="n"/>
      <c r="C26" s="9" t="n"/>
      <c r="D26" s="9" t="n"/>
      <c r="E26" s="9" t="n"/>
      <c r="F26" s="9" t="n"/>
      <c r="G26" s="9" t="n"/>
      <c r="H26" s="9" t="n"/>
    </row>
    <row r="27" outlineLevel="1">
      <c r="A27" s="2" t="inlineStr">
        <is>
          <t>Revenue growth</t>
        </is>
      </c>
      <c r="D27" s="18" t="n">
        <v>0.12</v>
      </c>
      <c r="E27" s="18" t="n">
        <v>0.13</v>
      </c>
      <c r="F27" s="18" t="n">
        <v>0.12</v>
      </c>
      <c r="G27" s="18" t="n">
        <v>0.11</v>
      </c>
      <c r="H27" s="18" t="n">
        <v>0.1</v>
      </c>
    </row>
    <row r="28" outlineLevel="1">
      <c r="A28" s="2" t="inlineStr">
        <is>
          <t>Material costs (% of revenue)</t>
        </is>
      </c>
      <c r="D28" s="18" t="n">
        <v>0.5600000000000001</v>
      </c>
      <c r="E28" s="18" t="n">
        <v>0.5600000000000001</v>
      </c>
      <c r="F28" s="18" t="n">
        <v>0.5600000000000001</v>
      </c>
      <c r="G28" s="18" t="n">
        <v>0.5600000000000001</v>
      </c>
      <c r="H28" s="18" t="n">
        <v>0.5600000000000001</v>
      </c>
    </row>
    <row r="29" outlineLevel="1">
      <c r="A29" s="2" t="inlineStr">
        <is>
          <t>Employee benefits (% of revenue)</t>
        </is>
      </c>
      <c r="D29" s="18" t="n">
        <v>0.14</v>
      </c>
      <c r="E29" s="18" t="n">
        <v>0.14</v>
      </c>
      <c r="F29" s="18" t="n">
        <v>0.14</v>
      </c>
      <c r="G29" s="18" t="n">
        <v>0.14</v>
      </c>
      <c r="H29" s="18" t="n">
        <v>0.14</v>
      </c>
    </row>
    <row r="30" outlineLevel="1">
      <c r="A30" s="2" t="inlineStr">
        <is>
          <t>Other expenses (% of revenue)</t>
        </is>
      </c>
      <c r="D30" s="18" t="n">
        <v>0.21</v>
      </c>
      <c r="E30" s="18" t="n">
        <v>0.21</v>
      </c>
      <c r="F30" s="18" t="n">
        <v>0.21</v>
      </c>
      <c r="G30" s="18" t="n">
        <v>0.21</v>
      </c>
      <c r="H30" s="18" t="n">
        <v>0.21</v>
      </c>
    </row>
    <row r="31" outlineLevel="1">
      <c r="A31" s="2" t="inlineStr">
        <is>
          <t>Capital expenditure (% of revenue)</t>
        </is>
      </c>
      <c r="D31" s="18" t="n">
        <v>0.04</v>
      </c>
      <c r="E31" s="18" t="n">
        <v>0.04</v>
      </c>
      <c r="F31" s="18" t="n">
        <v>0.04</v>
      </c>
      <c r="G31" s="18" t="n">
        <v>0.04</v>
      </c>
      <c r="H31" s="18" t="n">
        <v>0.04</v>
      </c>
    </row>
    <row r="33">
      <c r="A33" s="8" t="inlineStr">
        <is>
          <t>Upside case</t>
        </is>
      </c>
      <c r="B33" s="9" t="n"/>
      <c r="C33" s="9" t="n"/>
      <c r="D33" s="9" t="n"/>
      <c r="E33" s="9" t="n"/>
      <c r="F33" s="9" t="n"/>
      <c r="G33" s="9" t="n"/>
      <c r="H33" s="9" t="n"/>
    </row>
    <row r="34" outlineLevel="1">
      <c r="A34" s="2" t="inlineStr">
        <is>
          <t>Revenue growth</t>
        </is>
      </c>
      <c r="D34" s="18" t="n">
        <v>0.15</v>
      </c>
      <c r="E34" s="18" t="n">
        <v>0.16</v>
      </c>
      <c r="F34" s="18" t="n">
        <v>0.15</v>
      </c>
      <c r="G34" s="18" t="n">
        <v>0.14</v>
      </c>
      <c r="H34" s="18" t="n">
        <v>0.13</v>
      </c>
    </row>
    <row r="35" outlineLevel="1">
      <c r="A35" s="2" t="inlineStr">
        <is>
          <t>Material costs (% of revenue)</t>
        </is>
      </c>
      <c r="D35" s="18" t="n">
        <v>0.55</v>
      </c>
      <c r="E35" s="18" t="n">
        <v>0.55</v>
      </c>
      <c r="F35" s="18" t="n">
        <v>0.55</v>
      </c>
      <c r="G35" s="18" t="n">
        <v>0.55</v>
      </c>
      <c r="H35" s="18" t="n">
        <v>0.55</v>
      </c>
    </row>
    <row r="36" outlineLevel="1">
      <c r="A36" s="2" t="inlineStr">
        <is>
          <t>Employee benefits (% of revenue)</t>
        </is>
      </c>
      <c r="D36" s="18" t="n">
        <v>0.135</v>
      </c>
      <c r="E36" s="18" t="n">
        <v>0.135</v>
      </c>
      <c r="F36" s="18" t="n">
        <v>0.135</v>
      </c>
      <c r="G36" s="18" t="n">
        <v>0.135</v>
      </c>
      <c r="H36" s="18" t="n">
        <v>0.135</v>
      </c>
    </row>
    <row r="37" outlineLevel="1">
      <c r="A37" s="2" t="inlineStr">
        <is>
          <t>Other expenses (% of revenue)</t>
        </is>
      </c>
      <c r="D37" s="18" t="n">
        <v>0.205</v>
      </c>
      <c r="E37" s="18" t="n">
        <v>0.205</v>
      </c>
      <c r="F37" s="18" t="n">
        <v>0.205</v>
      </c>
      <c r="G37" s="18" t="n">
        <v>0.205</v>
      </c>
      <c r="H37" s="18" t="n">
        <v>0.205</v>
      </c>
    </row>
    <row r="38" outlineLevel="1">
      <c r="A38" s="2" t="inlineStr">
        <is>
          <t>Capital expenditure (% of revenue)</t>
        </is>
      </c>
      <c r="D38" s="18" t="n">
        <v>0.045</v>
      </c>
      <c r="E38" s="18" t="n">
        <v>0.045</v>
      </c>
      <c r="F38" s="18" t="n">
        <v>0.045</v>
      </c>
      <c r="G38" s="18" t="n">
        <v>0.045</v>
      </c>
      <c r="H38" s="18" t="n">
        <v>0.045</v>
      </c>
    </row>
    <row r="40">
      <c r="A40" s="8" t="inlineStr">
        <is>
          <t>Downside case</t>
        </is>
      </c>
      <c r="B40" s="9" t="n"/>
      <c r="C40" s="9" t="n"/>
      <c r="D40" s="9" t="n"/>
      <c r="E40" s="9" t="n"/>
      <c r="F40" s="9" t="n"/>
      <c r="G40" s="9" t="n"/>
      <c r="H40" s="9" t="n"/>
    </row>
    <row r="41" outlineLevel="1">
      <c r="A41" s="2" t="inlineStr">
        <is>
          <t>Revenue growth</t>
        </is>
      </c>
      <c r="D41" s="18" t="n">
        <v>0.08</v>
      </c>
      <c r="E41" s="18" t="n">
        <v>0.08</v>
      </c>
      <c r="F41" s="18" t="n">
        <v>0.07000000000000001</v>
      </c>
      <c r="G41" s="18" t="n">
        <v>0.07000000000000001</v>
      </c>
      <c r="H41" s="18" t="n">
        <v>0.06</v>
      </c>
    </row>
    <row r="42" outlineLevel="1">
      <c r="A42" s="2" t="inlineStr">
        <is>
          <t>Material costs (% of revenue)</t>
        </is>
      </c>
      <c r="D42" s="18" t="n">
        <v>0.58</v>
      </c>
      <c r="E42" s="18" t="n">
        <v>0.58</v>
      </c>
      <c r="F42" s="18" t="n">
        <v>0.58</v>
      </c>
      <c r="G42" s="18" t="n">
        <v>0.58</v>
      </c>
      <c r="H42" s="18" t="n">
        <v>0.58</v>
      </c>
    </row>
    <row r="43" outlineLevel="1">
      <c r="A43" s="2" t="inlineStr">
        <is>
          <t>Employee benefits (% of revenue)</t>
        </is>
      </c>
      <c r="D43" s="18" t="n">
        <v>0.145</v>
      </c>
      <c r="E43" s="18" t="n">
        <v>0.145</v>
      </c>
      <c r="F43" s="18" t="n">
        <v>0.145</v>
      </c>
      <c r="G43" s="18" t="n">
        <v>0.145</v>
      </c>
      <c r="H43" s="18" t="n">
        <v>0.145</v>
      </c>
    </row>
    <row r="44" outlineLevel="1">
      <c r="A44" s="2" t="inlineStr">
        <is>
          <t>Other expenses (% of revenue)</t>
        </is>
      </c>
      <c r="D44" s="18" t="n">
        <v>0.22</v>
      </c>
      <c r="E44" s="18" t="n">
        <v>0.22</v>
      </c>
      <c r="F44" s="18" t="n">
        <v>0.22</v>
      </c>
      <c r="G44" s="18" t="n">
        <v>0.22</v>
      </c>
      <c r="H44" s="18" t="n">
        <v>0.22</v>
      </c>
    </row>
    <row r="45" outlineLevel="1">
      <c r="A45" s="2" t="inlineStr">
        <is>
          <t>Capital expenditure (% of revenue)</t>
        </is>
      </c>
      <c r="D45" s="18" t="n">
        <v>0.03</v>
      </c>
      <c r="E45" s="18" t="n">
        <v>0.03</v>
      </c>
      <c r="F45" s="18" t="n">
        <v>0.03</v>
      </c>
      <c r="G45" s="18" t="n">
        <v>0.03</v>
      </c>
      <c r="H45" s="18" t="n">
        <v>0.03</v>
      </c>
    </row>
  </sheetData>
  <dataValidations count="2">
    <dataValidation sqref="C4" showDropDown="0" showInputMessage="0" showErrorMessage="0" allowBlank="0" type="list">
      <formula1>"Base,Upside,Downside"</formula1>
    </dataValidation>
    <dataValidation sqref="D27:H31 D34:H38 D41:H45" showDropDown="0" showInputMessage="0" showErrorMessage="1" allowBlank="0" error="Enter a rate between -100% and 100%." type="decimal" operator="between">
      <formula1>-1</formula1>
      <formula2>1</formula2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2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Schedules</t>
        </is>
      </c>
    </row>
    <row r="2">
      <c r="A2" s="2" t="inlineStr">
        <is>
          <t>Fixed assets, working capital and debt. ₹ in lakhs.</t>
        </is>
      </c>
    </row>
    <row r="4">
      <c r="A4" s="6" t="inlineStr">
        <is>
          <t>₹ lakhs</t>
        </is>
      </c>
      <c r="B4" s="7" t="inlineStr"/>
      <c r="C4" s="7">
        <f>"FY "&amp;(Historicals!$D$3-1)&amp;"-"&amp;RIGHT(Historicals!$D$3,2)&amp;" (actual)"</f>
        <v/>
      </c>
      <c r="D4" s="7">
        <f>"FY "&amp;(Historicals!$D$3+1-1)&amp;"-"&amp;RIGHT(Historicals!$D$3+1,2)&amp;" (forecast)"</f>
        <v/>
      </c>
      <c r="E4" s="7">
        <f>"FY "&amp;(Historicals!$D$3+2-1)&amp;"-"&amp;RIGHT(Historicals!$D$3+2,2)&amp;" (forecast)"</f>
        <v/>
      </c>
      <c r="F4" s="7">
        <f>"FY "&amp;(Historicals!$D$3+3-1)&amp;"-"&amp;RIGHT(Historicals!$D$3+3,2)&amp;" (forecast)"</f>
        <v/>
      </c>
      <c r="G4" s="7">
        <f>"FY "&amp;(Historicals!$D$3+4-1)&amp;"-"&amp;RIGHT(Historicals!$D$3+4,2)&amp;" (forecast)"</f>
        <v/>
      </c>
      <c r="H4" s="7">
        <f>"FY "&amp;(Historicals!$D$3+5-1)&amp;"-"&amp;RIGHT(Historicals!$D$3+5,2)&amp;" (forecast)"</f>
        <v/>
      </c>
    </row>
    <row r="5">
      <c r="A5" s="8" t="inlineStr">
        <is>
          <t>Fixed assets (property, plant and equipment, work-in-progress and intangibles)</t>
        </is>
      </c>
      <c r="B5" s="9" t="n"/>
      <c r="C5" s="9" t="n"/>
      <c r="D5" s="9" t="n"/>
      <c r="E5" s="9" t="n"/>
      <c r="F5" s="9" t="n"/>
      <c r="G5" s="9" t="n"/>
      <c r="H5" s="9" t="n"/>
    </row>
    <row r="6">
      <c r="A6" s="2" t="inlineStr">
        <is>
          <t>Opening net fixed assets</t>
        </is>
      </c>
      <c r="D6" s="15">
        <f>C9</f>
        <v/>
      </c>
      <c r="E6" s="15">
        <f>D9</f>
        <v/>
      </c>
      <c r="F6" s="15">
        <f>E9</f>
        <v/>
      </c>
      <c r="G6" s="15">
        <f>F9</f>
        <v/>
      </c>
      <c r="H6" s="15">
        <f>G9</f>
        <v/>
      </c>
    </row>
    <row r="7">
      <c r="A7" s="2" t="inlineStr">
        <is>
          <t>Capital expenditure</t>
        </is>
      </c>
      <c r="D7" s="15">
        <f>Financials!D6*Assumptions!D12</f>
        <v/>
      </c>
      <c r="E7" s="15">
        <f>Financials!E6*Assumptions!E12</f>
        <v/>
      </c>
      <c r="F7" s="15">
        <f>Financials!F6*Assumptions!F12</f>
        <v/>
      </c>
      <c r="G7" s="15">
        <f>Financials!G6*Assumptions!G12</f>
        <v/>
      </c>
      <c r="H7" s="15">
        <f>Financials!H6*Assumptions!H12</f>
        <v/>
      </c>
    </row>
    <row r="8">
      <c r="A8" s="2" t="inlineStr">
        <is>
          <t>Depreciation and amortisation</t>
        </is>
      </c>
      <c r="D8" s="15">
        <f>D6*Assumptions!D13</f>
        <v/>
      </c>
      <c r="E8" s="15">
        <f>E6*Assumptions!E13</f>
        <v/>
      </c>
      <c r="F8" s="15">
        <f>F6*Assumptions!F13</f>
        <v/>
      </c>
      <c r="G8" s="15">
        <f>G6*Assumptions!G13</f>
        <v/>
      </c>
      <c r="H8" s="15">
        <f>H6*Assumptions!H13</f>
        <v/>
      </c>
    </row>
    <row r="9">
      <c r="A9" s="3" t="inlineStr">
        <is>
          <t>Closing net fixed assets</t>
        </is>
      </c>
      <c r="C9" s="22">
        <f>SUM(Historicals!D43:D45)</f>
        <v/>
      </c>
      <c r="D9" s="11">
        <f>D6+D7-D8</f>
        <v/>
      </c>
      <c r="E9" s="11">
        <f>E6+E7-E8</f>
        <v/>
      </c>
      <c r="F9" s="11">
        <f>F6+F7-F8</f>
        <v/>
      </c>
      <c r="G9" s="11">
        <f>G6+G7-G8</f>
        <v/>
      </c>
      <c r="H9" s="11">
        <f>H6+H7-H8</f>
        <v/>
      </c>
    </row>
    <row r="11">
      <c r="A11" s="8" t="inlineStr">
        <is>
          <t>Working capital</t>
        </is>
      </c>
      <c r="B11" s="9" t="n"/>
      <c r="C11" s="9" t="n"/>
      <c r="D11" s="9" t="n"/>
      <c r="E11" s="9" t="n"/>
      <c r="F11" s="9" t="n"/>
      <c r="G11" s="9" t="n"/>
      <c r="H11" s="9" t="n"/>
    </row>
    <row r="12">
      <c r="A12" s="2" t="inlineStr">
        <is>
          <t>Revenue from operations</t>
        </is>
      </c>
      <c r="C12" s="22">
        <f>Financials!C6</f>
        <v/>
      </c>
      <c r="D12" s="15">
        <f>Financials!D6</f>
        <v/>
      </c>
      <c r="E12" s="15">
        <f>Financials!E6</f>
        <v/>
      </c>
      <c r="F12" s="15">
        <f>Financials!F6</f>
        <v/>
      </c>
      <c r="G12" s="15">
        <f>Financials!G6</f>
        <v/>
      </c>
      <c r="H12" s="15">
        <f>Financials!H6</f>
        <v/>
      </c>
    </row>
    <row r="13">
      <c r="A13" s="2" t="inlineStr">
        <is>
          <t>Material costs</t>
        </is>
      </c>
      <c r="C13" s="22">
        <f>Financials!C7</f>
        <v/>
      </c>
      <c r="D13" s="15">
        <f>Financials!D7</f>
        <v/>
      </c>
      <c r="E13" s="15">
        <f>Financials!E7</f>
        <v/>
      </c>
      <c r="F13" s="15">
        <f>Financials!F7</f>
        <v/>
      </c>
      <c r="G13" s="15">
        <f>Financials!G7</f>
        <v/>
      </c>
      <c r="H13" s="15">
        <f>Financials!H7</f>
        <v/>
      </c>
    </row>
    <row r="14">
      <c r="A14" s="2" t="inlineStr">
        <is>
          <t>Trade receivables</t>
        </is>
      </c>
      <c r="C14" s="22">
        <f>Historicals!D48</f>
        <v/>
      </c>
      <c r="D14" s="15">
        <f>D12*Assumptions!D14/365</f>
        <v/>
      </c>
      <c r="E14" s="15">
        <f>E12*Assumptions!E14/365</f>
        <v/>
      </c>
      <c r="F14" s="15">
        <f>F12*Assumptions!F14/365</f>
        <v/>
      </c>
      <c r="G14" s="15">
        <f>G12*Assumptions!G14/365</f>
        <v/>
      </c>
      <c r="H14" s="15">
        <f>H12*Assumptions!H14/365</f>
        <v/>
      </c>
    </row>
    <row r="15">
      <c r="A15" s="2" t="inlineStr">
        <is>
          <t>Inventories</t>
        </is>
      </c>
      <c r="C15" s="22">
        <f>Historicals!D47</f>
        <v/>
      </c>
      <c r="D15" s="15">
        <f>D13*Assumptions!D15/365</f>
        <v/>
      </c>
      <c r="E15" s="15">
        <f>E13*Assumptions!E15/365</f>
        <v/>
      </c>
      <c r="F15" s="15">
        <f>F13*Assumptions!F15/365</f>
        <v/>
      </c>
      <c r="G15" s="15">
        <f>G13*Assumptions!G15/365</f>
        <v/>
      </c>
      <c r="H15" s="15">
        <f>H13*Assumptions!H15/365</f>
        <v/>
      </c>
    </row>
    <row r="16">
      <c r="A16" s="2" t="inlineStr">
        <is>
          <t>Trade payables</t>
        </is>
      </c>
      <c r="C16" s="22">
        <f>Historicals!D37</f>
        <v/>
      </c>
      <c r="D16" s="15">
        <f>D13*Assumptions!D16/365</f>
        <v/>
      </c>
      <c r="E16" s="15">
        <f>E13*Assumptions!E16/365</f>
        <v/>
      </c>
      <c r="F16" s="15">
        <f>F13*Assumptions!F16/365</f>
        <v/>
      </c>
      <c r="G16" s="15">
        <f>G13*Assumptions!G16/365</f>
        <v/>
      </c>
      <c r="H16" s="15">
        <f>H13*Assumptions!H16/365</f>
        <v/>
      </c>
    </row>
    <row r="17">
      <c r="A17" s="3" t="inlineStr">
        <is>
          <t>Net working capital</t>
        </is>
      </c>
      <c r="C17" s="23">
        <f>C14+C15-C16</f>
        <v/>
      </c>
      <c r="D17" s="23">
        <f>D14+D15-D16</f>
        <v/>
      </c>
      <c r="E17" s="23">
        <f>E14+E15-E16</f>
        <v/>
      </c>
      <c r="F17" s="23">
        <f>F14+F15-F16</f>
        <v/>
      </c>
      <c r="G17" s="23">
        <f>G14+G15-G16</f>
        <v/>
      </c>
      <c r="H17" s="23">
        <f>H14+H15-H16</f>
        <v/>
      </c>
    </row>
    <row r="18">
      <c r="A18" s="3" t="inlineStr">
        <is>
          <t>Increase in net working capital</t>
        </is>
      </c>
      <c r="D18" s="23">
        <f>D17-C17</f>
        <v/>
      </c>
      <c r="E18" s="23">
        <f>E17-D17</f>
        <v/>
      </c>
      <c r="F18" s="23">
        <f>F17-E17</f>
        <v/>
      </c>
      <c r="G18" s="23">
        <f>G17-F17</f>
        <v/>
      </c>
      <c r="H18" s="23">
        <f>H17-G17</f>
        <v/>
      </c>
    </row>
    <row r="20">
      <c r="A20" s="8" t="inlineStr">
        <is>
          <t>Debt</t>
        </is>
      </c>
      <c r="B20" s="9" t="n"/>
      <c r="C20" s="9" t="n"/>
      <c r="D20" s="9" t="n"/>
      <c r="E20" s="9" t="n"/>
      <c r="F20" s="9" t="n"/>
      <c r="G20" s="9" t="n"/>
      <c r="H20" s="9" t="n"/>
    </row>
    <row r="21">
      <c r="A21" s="2" t="inlineStr">
        <is>
          <t>Opening long-term borrowings</t>
        </is>
      </c>
      <c r="D21" s="15">
        <f>C24</f>
        <v/>
      </c>
      <c r="E21" s="15">
        <f>D24</f>
        <v/>
      </c>
      <c r="F21" s="15">
        <f>E24</f>
        <v/>
      </c>
      <c r="G21" s="15">
        <f>F24</f>
        <v/>
      </c>
      <c r="H21" s="15">
        <f>G24</f>
        <v/>
      </c>
    </row>
    <row r="22">
      <c r="A22" s="2" t="inlineStr">
        <is>
          <t>Repaid</t>
        </is>
      </c>
      <c r="D22" s="15">
        <f>D21*Assumptions!D20</f>
        <v/>
      </c>
      <c r="E22" s="15">
        <f>E21*Assumptions!E20</f>
        <v/>
      </c>
      <c r="F22" s="15">
        <f>F21*Assumptions!F20</f>
        <v/>
      </c>
      <c r="G22" s="15">
        <f>G21*Assumptions!G20</f>
        <v/>
      </c>
      <c r="H22" s="15">
        <f>H21*Assumptions!H20</f>
        <v/>
      </c>
    </row>
    <row r="23">
      <c r="A23" s="2" t="inlineStr">
        <is>
          <t>New borrowings</t>
        </is>
      </c>
      <c r="D23" s="15">
        <f>Assumptions!D21</f>
        <v/>
      </c>
      <c r="E23" s="15">
        <f>Assumptions!E21</f>
        <v/>
      </c>
      <c r="F23" s="15">
        <f>Assumptions!F21</f>
        <v/>
      </c>
      <c r="G23" s="15">
        <f>Assumptions!G21</f>
        <v/>
      </c>
      <c r="H23" s="15">
        <f>Assumptions!H21</f>
        <v/>
      </c>
    </row>
    <row r="24">
      <c r="A24" s="3" t="inlineStr">
        <is>
          <t>Closing long-term borrowings</t>
        </is>
      </c>
      <c r="C24" s="22">
        <f>Historicals!D34</f>
        <v/>
      </c>
      <c r="D24" s="23">
        <f>D21-D22+D23</f>
        <v/>
      </c>
      <c r="E24" s="23">
        <f>E21-E22+E23</f>
        <v/>
      </c>
      <c r="F24" s="23">
        <f>F21-F22+F23</f>
        <v/>
      </c>
      <c r="G24" s="23">
        <f>G21-G22+G23</f>
        <v/>
      </c>
      <c r="H24" s="23">
        <f>H21-H22+H23</f>
        <v/>
      </c>
    </row>
    <row r="25">
      <c r="A25" s="2" t="inlineStr">
        <is>
          <t>Short-term borrowings (held at the last actual)</t>
        </is>
      </c>
      <c r="C25" s="22">
        <f>Historicals!D35</f>
        <v/>
      </c>
      <c r="D25" s="15">
        <f>C25</f>
        <v/>
      </c>
      <c r="E25" s="15">
        <f>D25</f>
        <v/>
      </c>
      <c r="F25" s="15">
        <f>E25</f>
        <v/>
      </c>
      <c r="G25" s="15">
        <f>F25</f>
        <v/>
      </c>
      <c r="H25" s="15">
        <f>G25</f>
        <v/>
      </c>
    </row>
    <row r="26">
      <c r="A26" s="2" t="inlineStr">
        <is>
          <t>Lease liabilities (held at the last actual)</t>
        </is>
      </c>
      <c r="C26" s="22">
        <f>Historicals!D36</f>
        <v/>
      </c>
      <c r="D26" s="15">
        <f>C26</f>
        <v/>
      </c>
      <c r="E26" s="15">
        <f>D26</f>
        <v/>
      </c>
      <c r="F26" s="15">
        <f>E26</f>
        <v/>
      </c>
      <c r="G26" s="15">
        <f>F26</f>
        <v/>
      </c>
      <c r="H26" s="15">
        <f>G26</f>
        <v/>
      </c>
    </row>
    <row r="27">
      <c r="A27" s="3" t="inlineStr">
        <is>
          <t>Total borrowings and leases</t>
        </is>
      </c>
      <c r="C27" s="23">
        <f>SUM(C24:C26)</f>
        <v/>
      </c>
      <c r="D27" s="23">
        <f>SUM(D24:D26)</f>
        <v/>
      </c>
      <c r="E27" s="23">
        <f>SUM(E24:E26)</f>
        <v/>
      </c>
      <c r="F27" s="23">
        <f>SUM(F24:F26)</f>
        <v/>
      </c>
      <c r="G27" s="23">
        <f>SUM(G24:G26)</f>
        <v/>
      </c>
      <c r="H27" s="23">
        <f>SUM(H24:H26)</f>
        <v/>
      </c>
    </row>
    <row r="28">
      <c r="A28" s="2" t="inlineStr">
        <is>
          <t>Finance costs (on opening borrowings and leases)</t>
        </is>
      </c>
      <c r="D28" s="15">
        <f>C27*Assumptions!D18</f>
        <v/>
      </c>
      <c r="E28" s="15">
        <f>D27*Assumptions!E18</f>
        <v/>
      </c>
      <c r="F28" s="15">
        <f>E27*Assumptions!F18</f>
        <v/>
      </c>
      <c r="G28" s="15">
        <f>F27*Assumptions!G18</f>
        <v/>
      </c>
      <c r="H28" s="15">
        <f>G27*Assumptions!H18</f>
        <v/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Projected financial statements</t>
        </is>
      </c>
    </row>
    <row r="2">
      <c r="A2" s="2" t="inlineStr">
        <is>
          <t>₹ in lakhs. The last actual year comes from Historicals; cash balances the balance sheet.</t>
        </is>
      </c>
    </row>
    <row r="4">
      <c r="A4" s="6" t="inlineStr">
        <is>
          <t>₹ lakhs</t>
        </is>
      </c>
      <c r="B4" s="7" t="inlineStr"/>
      <c r="C4" s="7">
        <f>"FY "&amp;(Historicals!$D$3-1)&amp;"-"&amp;RIGHT(Historicals!$D$3,2)&amp;" (actual)"</f>
        <v/>
      </c>
      <c r="D4" s="7">
        <f>"FY "&amp;(Historicals!$D$3+1-1)&amp;"-"&amp;RIGHT(Historicals!$D$3+1,2)&amp;" (forecast)"</f>
        <v/>
      </c>
      <c r="E4" s="7">
        <f>"FY "&amp;(Historicals!$D$3+2-1)&amp;"-"&amp;RIGHT(Historicals!$D$3+2,2)&amp;" (forecast)"</f>
        <v/>
      </c>
      <c r="F4" s="7">
        <f>"FY "&amp;(Historicals!$D$3+3-1)&amp;"-"&amp;RIGHT(Historicals!$D$3+3,2)&amp;" (forecast)"</f>
        <v/>
      </c>
      <c r="G4" s="7">
        <f>"FY "&amp;(Historicals!$D$3+4-1)&amp;"-"&amp;RIGHT(Historicals!$D$3+4,2)&amp;" (forecast)"</f>
        <v/>
      </c>
      <c r="H4" s="7">
        <f>"FY "&amp;(Historicals!$D$3+5-1)&amp;"-"&amp;RIGHT(Historicals!$D$3+5,2)&amp;" (forecast)"</f>
        <v/>
      </c>
    </row>
    <row r="5">
      <c r="A5" s="8" t="inlineStr">
        <is>
          <t>Profit and loss</t>
        </is>
      </c>
      <c r="B5" s="9" t="n"/>
      <c r="C5" s="9" t="n"/>
      <c r="D5" s="9" t="n"/>
      <c r="E5" s="9" t="n"/>
      <c r="F5" s="9" t="n"/>
      <c r="G5" s="9" t="n"/>
      <c r="H5" s="9" t="n"/>
    </row>
    <row r="6">
      <c r="A6" s="2" t="inlineStr">
        <is>
          <t>Revenue from operations</t>
        </is>
      </c>
      <c r="C6" s="22">
        <f>Historicals!D6</f>
        <v/>
      </c>
      <c r="D6" s="15">
        <f>C6*(1+Assumptions!D8)</f>
        <v/>
      </c>
      <c r="E6" s="15">
        <f>D6*(1+Assumptions!E8)</f>
        <v/>
      </c>
      <c r="F6" s="15">
        <f>E6*(1+Assumptions!F8)</f>
        <v/>
      </c>
      <c r="G6" s="15">
        <f>F6*(1+Assumptions!G8)</f>
        <v/>
      </c>
      <c r="H6" s="15">
        <f>G6*(1+Assumptions!H8)</f>
        <v/>
      </c>
    </row>
    <row r="7">
      <c r="A7" s="2" t="inlineStr">
        <is>
          <t>Material costs</t>
        </is>
      </c>
      <c r="C7" s="22">
        <f>SUM(Historicals!D9:D11)</f>
        <v/>
      </c>
      <c r="D7" s="15">
        <f>D6*Assumptions!D9</f>
        <v/>
      </c>
      <c r="E7" s="15">
        <f>E6*Assumptions!E9</f>
        <v/>
      </c>
      <c r="F7" s="15">
        <f>F6*Assumptions!F9</f>
        <v/>
      </c>
      <c r="G7" s="15">
        <f>G6*Assumptions!G9</f>
        <v/>
      </c>
      <c r="H7" s="15">
        <f>H6*Assumptions!H9</f>
        <v/>
      </c>
    </row>
    <row r="8">
      <c r="A8" s="2" t="inlineStr">
        <is>
          <t>Employee benefits expense</t>
        </is>
      </c>
      <c r="C8" s="22">
        <f>Historicals!D12</f>
        <v/>
      </c>
      <c r="D8" s="15">
        <f>D6*Assumptions!D10</f>
        <v/>
      </c>
      <c r="E8" s="15">
        <f>E6*Assumptions!E10</f>
        <v/>
      </c>
      <c r="F8" s="15">
        <f>F6*Assumptions!F10</f>
        <v/>
      </c>
      <c r="G8" s="15">
        <f>G6*Assumptions!G10</f>
        <v/>
      </c>
      <c r="H8" s="15">
        <f>H6*Assumptions!H10</f>
        <v/>
      </c>
    </row>
    <row r="9">
      <c r="A9" s="2" t="inlineStr">
        <is>
          <t>Other expenses</t>
        </is>
      </c>
      <c r="C9" s="22">
        <f>Historicals!D13</f>
        <v/>
      </c>
      <c r="D9" s="15">
        <f>D6*Assumptions!D11</f>
        <v/>
      </c>
      <c r="E9" s="15">
        <f>E6*Assumptions!E11</f>
        <v/>
      </c>
      <c r="F9" s="15">
        <f>F6*Assumptions!F11</f>
        <v/>
      </c>
      <c r="G9" s="15">
        <f>G6*Assumptions!G11</f>
        <v/>
      </c>
      <c r="H9" s="15">
        <f>H6*Assumptions!H11</f>
        <v/>
      </c>
    </row>
    <row r="10">
      <c r="A10" s="3" t="inlineStr">
        <is>
          <t>EBITDA</t>
        </is>
      </c>
      <c r="C10" s="11">
        <f>C6-SUM(C7:C9)</f>
        <v/>
      </c>
      <c r="D10" s="11">
        <f>D6-SUM(D7:D9)</f>
        <v/>
      </c>
      <c r="E10" s="11">
        <f>E6-SUM(E7:E9)</f>
        <v/>
      </c>
      <c r="F10" s="11">
        <f>F6-SUM(F7:F9)</f>
        <v/>
      </c>
      <c r="G10" s="11">
        <f>G6-SUM(G7:G9)</f>
        <v/>
      </c>
      <c r="H10" s="11">
        <f>H6-SUM(H7:H9)</f>
        <v/>
      </c>
    </row>
    <row r="11">
      <c r="A11" s="2" t="inlineStr">
        <is>
          <t>Depreciation and amortisation</t>
        </is>
      </c>
      <c r="C11" s="22">
        <f>Historicals!D16</f>
        <v/>
      </c>
      <c r="D11" s="15">
        <f>Schedules!D8</f>
        <v/>
      </c>
      <c r="E11" s="15">
        <f>Schedules!E8</f>
        <v/>
      </c>
      <c r="F11" s="15">
        <f>Schedules!F8</f>
        <v/>
      </c>
      <c r="G11" s="15">
        <f>Schedules!G8</f>
        <v/>
      </c>
      <c r="H11" s="15">
        <f>Schedules!H8</f>
        <v/>
      </c>
    </row>
    <row r="12">
      <c r="A12" s="3" t="inlineStr">
        <is>
          <t>EBIT</t>
        </is>
      </c>
      <c r="C12" s="11">
        <f>C10-C11</f>
        <v/>
      </c>
      <c r="D12" s="11">
        <f>D10-D11</f>
        <v/>
      </c>
      <c r="E12" s="11">
        <f>E10-E11</f>
        <v/>
      </c>
      <c r="F12" s="11">
        <f>F10-F11</f>
        <v/>
      </c>
      <c r="G12" s="11">
        <f>G10-G11</f>
        <v/>
      </c>
      <c r="H12" s="11">
        <f>H10-H11</f>
        <v/>
      </c>
    </row>
    <row r="13">
      <c r="A13" s="2" t="inlineStr">
        <is>
          <t>Other income</t>
        </is>
      </c>
      <c r="C13" s="22">
        <f>Historicals!D7</f>
        <v/>
      </c>
      <c r="D13" s="15">
        <f>(C30+C34)*Assumptions!D19</f>
        <v/>
      </c>
      <c r="E13" s="15">
        <f>(D30+D34)*Assumptions!E19</f>
        <v/>
      </c>
      <c r="F13" s="15">
        <f>(E30+E34)*Assumptions!F19</f>
        <v/>
      </c>
      <c r="G13" s="15">
        <f>(F30+F34)*Assumptions!G19</f>
        <v/>
      </c>
      <c r="H13" s="15">
        <f>(G30+G34)*Assumptions!H19</f>
        <v/>
      </c>
    </row>
    <row r="14">
      <c r="A14" s="2" t="inlineStr">
        <is>
          <t>Finance costs</t>
        </is>
      </c>
      <c r="C14" s="22">
        <f>Historicals!D18</f>
        <v/>
      </c>
      <c r="D14" s="15">
        <f>Schedules!D28</f>
        <v/>
      </c>
      <c r="E14" s="15">
        <f>Schedules!E28</f>
        <v/>
      </c>
      <c r="F14" s="15">
        <f>Schedules!F28</f>
        <v/>
      </c>
      <c r="G14" s="15">
        <f>Schedules!G28</f>
        <v/>
      </c>
      <c r="H14" s="15">
        <f>Schedules!H28</f>
        <v/>
      </c>
    </row>
    <row r="15">
      <c r="A15" s="2" t="inlineStr">
        <is>
          <t>Exceptional and other items</t>
        </is>
      </c>
      <c r="C15" s="22">
        <f>Historicals!D19</f>
        <v/>
      </c>
      <c r="D15" s="15">
        <f>0</f>
        <v/>
      </c>
      <c r="E15" s="15">
        <f>0</f>
        <v/>
      </c>
      <c r="F15" s="15">
        <f>0</f>
        <v/>
      </c>
      <c r="G15" s="15">
        <f>0</f>
        <v/>
      </c>
      <c r="H15" s="15">
        <f>0</f>
        <v/>
      </c>
    </row>
    <row r="16">
      <c r="A16" s="3" t="inlineStr">
        <is>
          <t>Profit before tax</t>
        </is>
      </c>
      <c r="C16" s="11">
        <f>C12+C13-C14-C15</f>
        <v/>
      </c>
      <c r="D16" s="11">
        <f>D12+D13-D14-D15</f>
        <v/>
      </c>
      <c r="E16" s="11">
        <f>E12+E13-E14-E15</f>
        <v/>
      </c>
      <c r="F16" s="11">
        <f>F12+F13-F14-F15</f>
        <v/>
      </c>
      <c r="G16" s="11">
        <f>G12+G13-G14-G15</f>
        <v/>
      </c>
      <c r="H16" s="11">
        <f>H12+H13-H14-H15</f>
        <v/>
      </c>
    </row>
    <row r="17">
      <c r="A17" s="2" t="inlineStr">
        <is>
          <t>Tax expense</t>
        </is>
      </c>
      <c r="C17" s="22">
        <f>Historicals!D21+Historicals!D22</f>
        <v/>
      </c>
      <c r="D17" s="15">
        <f>MAX(0,D16)*Assumptions!D17</f>
        <v/>
      </c>
      <c r="E17" s="15">
        <f>MAX(0,E16)*Assumptions!E17</f>
        <v/>
      </c>
      <c r="F17" s="15">
        <f>MAX(0,F16)*Assumptions!F17</f>
        <v/>
      </c>
      <c r="G17" s="15">
        <f>MAX(0,G16)*Assumptions!G17</f>
        <v/>
      </c>
      <c r="H17" s="15">
        <f>MAX(0,H16)*Assumptions!H17</f>
        <v/>
      </c>
    </row>
    <row r="18">
      <c r="A18" s="2" t="inlineStr">
        <is>
          <t>Profit/(loss) from discontinued operations</t>
        </is>
      </c>
      <c r="C18" s="22">
        <f>Historicals!D24</f>
        <v/>
      </c>
      <c r="D18" s="15">
        <f>0</f>
        <v/>
      </c>
      <c r="E18" s="15">
        <f>0</f>
        <v/>
      </c>
      <c r="F18" s="15">
        <f>0</f>
        <v/>
      </c>
      <c r="G18" s="15">
        <f>0</f>
        <v/>
      </c>
      <c r="H18" s="15">
        <f>0</f>
        <v/>
      </c>
    </row>
    <row r="19">
      <c r="A19" s="3" t="inlineStr">
        <is>
          <t>Profit after tax</t>
        </is>
      </c>
      <c r="C19" s="11">
        <f>C16-C17+C18</f>
        <v/>
      </c>
      <c r="D19" s="11">
        <f>D16-D17+D18</f>
        <v/>
      </c>
      <c r="E19" s="11">
        <f>E16-E17+E18</f>
        <v/>
      </c>
      <c r="F19" s="11">
        <f>F16-F17+F18</f>
        <v/>
      </c>
      <c r="G19" s="11">
        <f>G16-G17+G18</f>
        <v/>
      </c>
      <c r="H19" s="11">
        <f>H16-H17+H18</f>
        <v/>
      </c>
    </row>
    <row r="21">
      <c r="A21" s="8" t="inlineStr">
        <is>
          <t>Balance sheet</t>
        </is>
      </c>
      <c r="B21" s="9" t="n"/>
      <c r="C21" s="9" t="n"/>
      <c r="D21" s="9" t="n"/>
      <c r="E21" s="9" t="n"/>
      <c r="F21" s="9" t="n"/>
      <c r="G21" s="9" t="n"/>
      <c r="H21" s="9" t="n"/>
    </row>
    <row r="22">
      <c r="A22" s="2" t="inlineStr">
        <is>
          <t>Share capital</t>
        </is>
      </c>
      <c r="C22" s="22">
        <f>Historicals!D30</f>
        <v/>
      </c>
      <c r="D22" s="15">
        <f>C22</f>
        <v/>
      </c>
      <c r="E22" s="15">
        <f>D22</f>
        <v/>
      </c>
      <c r="F22" s="15">
        <f>E22</f>
        <v/>
      </c>
      <c r="G22" s="15">
        <f>F22</f>
        <v/>
      </c>
      <c r="H22" s="15">
        <f>G22</f>
        <v/>
      </c>
    </row>
    <row r="23">
      <c r="A23" s="2" t="inlineStr">
        <is>
          <t>Other equity and non-controlling interests</t>
        </is>
      </c>
      <c r="C23" s="22">
        <f>Historicals!D31+Historicals!D32</f>
        <v/>
      </c>
      <c r="D23" s="15">
        <f>C23+D19+D46</f>
        <v/>
      </c>
      <c r="E23" s="15">
        <f>D23+E19+E46</f>
        <v/>
      </c>
      <c r="F23" s="15">
        <f>E23+F19+F46</f>
        <v/>
      </c>
      <c r="G23" s="15">
        <f>F23+G19+G46</f>
        <v/>
      </c>
      <c r="H23" s="15">
        <f>G23+H19+H46</f>
        <v/>
      </c>
    </row>
    <row r="24">
      <c r="A24" s="3" t="inlineStr">
        <is>
          <t>Total equity</t>
        </is>
      </c>
      <c r="C24" s="11">
        <f>C22+C23</f>
        <v/>
      </c>
      <c r="D24" s="11">
        <f>D22+D23</f>
        <v/>
      </c>
      <c r="E24" s="11">
        <f>E22+E23</f>
        <v/>
      </c>
      <c r="F24" s="11">
        <f>F22+F23</f>
        <v/>
      </c>
      <c r="G24" s="11">
        <f>G22+G23</f>
        <v/>
      </c>
      <c r="H24" s="11">
        <f>H22+H23</f>
        <v/>
      </c>
    </row>
    <row r="25">
      <c r="A25" s="2" t="inlineStr">
        <is>
          <t>Borrowings and lease liabilities</t>
        </is>
      </c>
      <c r="C25" s="22">
        <f>Schedules!C27</f>
        <v/>
      </c>
      <c r="D25" s="15">
        <f>Schedules!D27</f>
        <v/>
      </c>
      <c r="E25" s="15">
        <f>Schedules!E27</f>
        <v/>
      </c>
      <c r="F25" s="15">
        <f>Schedules!F27</f>
        <v/>
      </c>
      <c r="G25" s="15">
        <f>Schedules!G27</f>
        <v/>
      </c>
      <c r="H25" s="15">
        <f>Schedules!H27</f>
        <v/>
      </c>
    </row>
    <row r="26">
      <c r="A26" s="2" t="inlineStr">
        <is>
          <t>Trade payables</t>
        </is>
      </c>
      <c r="C26" s="22">
        <f>Schedules!C16</f>
        <v/>
      </c>
      <c r="D26" s="15">
        <f>Schedules!D16</f>
        <v/>
      </c>
      <c r="E26" s="15">
        <f>Schedules!E16</f>
        <v/>
      </c>
      <c r="F26" s="15">
        <f>Schedules!F16</f>
        <v/>
      </c>
      <c r="G26" s="15">
        <f>Schedules!G16</f>
        <v/>
      </c>
      <c r="H26" s="15">
        <f>Schedules!H16</f>
        <v/>
      </c>
    </row>
    <row r="27">
      <c r="A27" s="2" t="inlineStr">
        <is>
          <t>Provisions, deferred tax and other liabilities</t>
        </is>
      </c>
      <c r="C27" s="22">
        <f>SUM(Historicals!D38:D40)</f>
        <v/>
      </c>
      <c r="D27" s="15">
        <f>C27</f>
        <v/>
      </c>
      <c r="E27" s="15">
        <f>D27</f>
        <v/>
      </c>
      <c r="F27" s="15">
        <f>E27</f>
        <v/>
      </c>
      <c r="G27" s="15">
        <f>F27</f>
        <v/>
      </c>
      <c r="H27" s="15">
        <f>G27</f>
        <v/>
      </c>
    </row>
    <row r="28">
      <c r="A28" s="3" t="inlineStr">
        <is>
          <t>Total equity and liabilities</t>
        </is>
      </c>
      <c r="C28" s="11">
        <f>SUM(C24:C27)</f>
        <v/>
      </c>
      <c r="D28" s="11">
        <f>SUM(D24:D27)</f>
        <v/>
      </c>
      <c r="E28" s="11">
        <f>SUM(E24:E27)</f>
        <v/>
      </c>
      <c r="F28" s="11">
        <f>SUM(F24:F27)</f>
        <v/>
      </c>
      <c r="G28" s="11">
        <f>SUM(G24:G27)</f>
        <v/>
      </c>
      <c r="H28" s="11">
        <f>SUM(H24:H27)</f>
        <v/>
      </c>
    </row>
    <row r="29">
      <c r="A29" s="2" t="inlineStr">
        <is>
          <t>Net fixed assets</t>
        </is>
      </c>
      <c r="C29" s="22">
        <f>Schedules!C9</f>
        <v/>
      </c>
      <c r="D29" s="15">
        <f>Schedules!D9</f>
        <v/>
      </c>
      <c r="E29" s="15">
        <f>Schedules!E9</f>
        <v/>
      </c>
      <c r="F29" s="15">
        <f>Schedules!F9</f>
        <v/>
      </c>
      <c r="G29" s="15">
        <f>Schedules!G9</f>
        <v/>
      </c>
      <c r="H29" s="15">
        <f>Schedules!H9</f>
        <v/>
      </c>
    </row>
    <row r="30">
      <c r="A30" s="2" t="inlineStr">
        <is>
          <t>Investments</t>
        </is>
      </c>
      <c r="C30" s="22">
        <f>Historicals!D46</f>
        <v/>
      </c>
      <c r="D30" s="15">
        <f>C30</f>
        <v/>
      </c>
      <c r="E30" s="15">
        <f>D30</f>
        <v/>
      </c>
      <c r="F30" s="15">
        <f>E30</f>
        <v/>
      </c>
      <c r="G30" s="15">
        <f>F30</f>
        <v/>
      </c>
      <c r="H30" s="15">
        <f>G30</f>
        <v/>
      </c>
    </row>
    <row r="31">
      <c r="A31" s="2" t="inlineStr">
        <is>
          <t>Inventories</t>
        </is>
      </c>
      <c r="C31" s="22">
        <f>Schedules!C15</f>
        <v/>
      </c>
      <c r="D31" s="15">
        <f>Schedules!D15</f>
        <v/>
      </c>
      <c r="E31" s="15">
        <f>Schedules!E15</f>
        <v/>
      </c>
      <c r="F31" s="15">
        <f>Schedules!F15</f>
        <v/>
      </c>
      <c r="G31" s="15">
        <f>Schedules!G15</f>
        <v/>
      </c>
      <c r="H31" s="15">
        <f>Schedules!H15</f>
        <v/>
      </c>
    </row>
    <row r="32">
      <c r="A32" s="2" t="inlineStr">
        <is>
          <t>Trade receivables</t>
        </is>
      </c>
      <c r="C32" s="22">
        <f>Schedules!C14</f>
        <v/>
      </c>
      <c r="D32" s="15">
        <f>Schedules!D14</f>
        <v/>
      </c>
      <c r="E32" s="15">
        <f>Schedules!E14</f>
        <v/>
      </c>
      <c r="F32" s="15">
        <f>Schedules!F14</f>
        <v/>
      </c>
      <c r="G32" s="15">
        <f>Schedules!G14</f>
        <v/>
      </c>
      <c r="H32" s="15">
        <f>Schedules!H14</f>
        <v/>
      </c>
    </row>
    <row r="33">
      <c r="A33" s="2" t="inlineStr">
        <is>
          <t>Loans, advances and other assets</t>
        </is>
      </c>
      <c r="C33" s="22">
        <f>Historicals!D50+Historicals!D51</f>
        <v/>
      </c>
      <c r="D33" s="15">
        <f>C33</f>
        <v/>
      </c>
      <c r="E33" s="15">
        <f>D33</f>
        <v/>
      </c>
      <c r="F33" s="15">
        <f>E33</f>
        <v/>
      </c>
      <c r="G33" s="15">
        <f>F33</f>
        <v/>
      </c>
      <c r="H33" s="15">
        <f>G33</f>
        <v/>
      </c>
    </row>
    <row r="34">
      <c r="A34" s="2" t="inlineStr">
        <is>
          <t>Cash and bank balances</t>
        </is>
      </c>
      <c r="C34" s="22">
        <f>Historicals!D49</f>
        <v/>
      </c>
      <c r="D34" s="15">
        <f>C34+D48</f>
        <v/>
      </c>
      <c r="E34" s="15">
        <f>D34+E48</f>
        <v/>
      </c>
      <c r="F34" s="15">
        <f>E34+F48</f>
        <v/>
      </c>
      <c r="G34" s="15">
        <f>F34+G48</f>
        <v/>
      </c>
      <c r="H34" s="15">
        <f>G34+H48</f>
        <v/>
      </c>
    </row>
    <row r="35">
      <c r="A35" s="3" t="inlineStr">
        <is>
          <t>Total assets</t>
        </is>
      </c>
      <c r="C35" s="11">
        <f>SUM(C29:C34)</f>
        <v/>
      </c>
      <c r="D35" s="11">
        <f>SUM(D29:D34)</f>
        <v/>
      </c>
      <c r="E35" s="11">
        <f>SUM(E29:E34)</f>
        <v/>
      </c>
      <c r="F35" s="11">
        <f>SUM(F29:F34)</f>
        <v/>
      </c>
      <c r="G35" s="11">
        <f>SUM(G29:G34)</f>
        <v/>
      </c>
      <c r="H35" s="11">
        <f>SUM(H29:H34)</f>
        <v/>
      </c>
    </row>
    <row r="36">
      <c r="A36" s="3" t="inlineStr">
        <is>
          <t>Check: balance sheet balances (0, or within the rounding allowed)</t>
        </is>
      </c>
      <c r="C36" s="11">
        <f>C35-C28</f>
        <v/>
      </c>
      <c r="D36" s="11">
        <f>D35-D28</f>
        <v/>
      </c>
      <c r="E36" s="11">
        <f>E35-E28</f>
        <v/>
      </c>
      <c r="F36" s="11">
        <f>F35-F28</f>
        <v/>
      </c>
      <c r="G36" s="11">
        <f>G35-G28</f>
        <v/>
      </c>
      <c r="H36" s="11">
        <f>H35-H28</f>
        <v/>
      </c>
    </row>
    <row r="38">
      <c r="A38" s="8" t="inlineStr">
        <is>
          <t>Cash flow</t>
        </is>
      </c>
      <c r="B38" s="9" t="n"/>
      <c r="C38" s="9" t="n"/>
      <c r="D38" s="9" t="n"/>
      <c r="E38" s="9" t="n"/>
      <c r="F38" s="9" t="n"/>
      <c r="G38" s="9" t="n"/>
      <c r="H38" s="9" t="n"/>
    </row>
    <row r="39">
      <c r="A39" s="2" t="inlineStr">
        <is>
          <t>Profit after tax</t>
        </is>
      </c>
      <c r="D39" s="15">
        <f>D19</f>
        <v/>
      </c>
      <c r="E39" s="15">
        <f>E19</f>
        <v/>
      </c>
      <c r="F39" s="15">
        <f>F19</f>
        <v/>
      </c>
      <c r="G39" s="15">
        <f>G19</f>
        <v/>
      </c>
      <c r="H39" s="15">
        <f>H19</f>
        <v/>
      </c>
    </row>
    <row r="40">
      <c r="A40" s="2" t="inlineStr">
        <is>
          <t>Depreciation and amortisation</t>
        </is>
      </c>
      <c r="D40" s="15">
        <f>D11</f>
        <v/>
      </c>
      <c r="E40" s="15">
        <f>E11</f>
        <v/>
      </c>
      <c r="F40" s="15">
        <f>F11</f>
        <v/>
      </c>
      <c r="G40" s="15">
        <f>G11</f>
        <v/>
      </c>
      <c r="H40" s="15">
        <f>H11</f>
        <v/>
      </c>
    </row>
    <row r="41">
      <c r="A41" s="2" t="inlineStr">
        <is>
          <t>Increase in net working capital</t>
        </is>
      </c>
      <c r="D41" s="15">
        <f>-Schedules!D18</f>
        <v/>
      </c>
      <c r="E41" s="15">
        <f>-Schedules!E18</f>
        <v/>
      </c>
      <c r="F41" s="15">
        <f>-Schedules!F18</f>
        <v/>
      </c>
      <c r="G41" s="15">
        <f>-Schedules!G18</f>
        <v/>
      </c>
      <c r="H41" s="15">
        <f>-Schedules!H18</f>
        <v/>
      </c>
    </row>
    <row r="42">
      <c r="A42" s="3" t="inlineStr">
        <is>
          <t>Cash from operations</t>
        </is>
      </c>
      <c r="C42" s="24" t="n"/>
      <c r="D42" s="11">
        <f>SUM(D39:D41)</f>
        <v/>
      </c>
      <c r="E42" s="11">
        <f>SUM(E39:E41)</f>
        <v/>
      </c>
      <c r="F42" s="11">
        <f>SUM(F39:F41)</f>
        <v/>
      </c>
      <c r="G42" s="11">
        <f>SUM(G39:G41)</f>
        <v/>
      </c>
      <c r="H42" s="11">
        <f>SUM(H39:H41)</f>
        <v/>
      </c>
    </row>
    <row r="43">
      <c r="A43" s="2" t="inlineStr">
        <is>
          <t>Capital expenditure</t>
        </is>
      </c>
      <c r="D43" s="15">
        <f>-Schedules!D7</f>
        <v/>
      </c>
      <c r="E43" s="15">
        <f>-Schedules!E7</f>
        <v/>
      </c>
      <c r="F43" s="15">
        <f>-Schedules!F7</f>
        <v/>
      </c>
      <c r="G43" s="15">
        <f>-Schedules!G7</f>
        <v/>
      </c>
      <c r="H43" s="15">
        <f>-Schedules!H7</f>
        <v/>
      </c>
    </row>
    <row r="44">
      <c r="A44" s="3" t="inlineStr">
        <is>
          <t>Cash from investing</t>
        </is>
      </c>
      <c r="C44" s="24" t="n"/>
      <c r="D44" s="11">
        <f>D43</f>
        <v/>
      </c>
      <c r="E44" s="11">
        <f>E43</f>
        <v/>
      </c>
      <c r="F44" s="11">
        <f>F43</f>
        <v/>
      </c>
      <c r="G44" s="11">
        <f>G43</f>
        <v/>
      </c>
      <c r="H44" s="11">
        <f>H43</f>
        <v/>
      </c>
    </row>
    <row r="45">
      <c r="A45" s="2" t="inlineStr">
        <is>
          <t>Borrowings drawn less repaid</t>
        </is>
      </c>
      <c r="D45" s="15">
        <f>Schedules!D23-Schedules!D22</f>
        <v/>
      </c>
      <c r="E45" s="15">
        <f>Schedules!E23-Schedules!E22</f>
        <v/>
      </c>
      <c r="F45" s="15">
        <f>Schedules!F23-Schedules!F22</f>
        <v/>
      </c>
      <c r="G45" s="15">
        <f>Schedules!G23-Schedules!G22</f>
        <v/>
      </c>
      <c r="H45" s="15">
        <f>Schedules!H23-Schedules!H22</f>
        <v/>
      </c>
    </row>
    <row r="46">
      <c r="A46" s="2" t="inlineStr">
        <is>
          <t>Dividends paid</t>
        </is>
      </c>
      <c r="D46" s="15">
        <f>-MAX(0,D19)*Assumptions!D22</f>
        <v/>
      </c>
      <c r="E46" s="15">
        <f>-MAX(0,E19)*Assumptions!E22</f>
        <v/>
      </c>
      <c r="F46" s="15">
        <f>-MAX(0,F19)*Assumptions!F22</f>
        <v/>
      </c>
      <c r="G46" s="15">
        <f>-MAX(0,G19)*Assumptions!G22</f>
        <v/>
      </c>
      <c r="H46" s="15">
        <f>-MAX(0,H19)*Assumptions!H22</f>
        <v/>
      </c>
    </row>
    <row r="47">
      <c r="A47" s="3" t="inlineStr">
        <is>
          <t>Cash from financing</t>
        </is>
      </c>
      <c r="C47" s="24" t="n"/>
      <c r="D47" s="11">
        <f>D45+D46</f>
        <v/>
      </c>
      <c r="E47" s="11">
        <f>E45+E46</f>
        <v/>
      </c>
      <c r="F47" s="11">
        <f>F45+F46</f>
        <v/>
      </c>
      <c r="G47" s="11">
        <f>G45+G46</f>
        <v/>
      </c>
      <c r="H47" s="11">
        <f>H45+H46</f>
        <v/>
      </c>
    </row>
    <row r="48">
      <c r="A48" s="3" t="inlineStr">
        <is>
          <t>Net change in cash</t>
        </is>
      </c>
      <c r="C48" s="24" t="n"/>
      <c r="D48" s="11">
        <f>D42+D44+D47</f>
        <v/>
      </c>
      <c r="E48" s="11">
        <f>E42+E44+E47</f>
        <v/>
      </c>
      <c r="F48" s="11">
        <f>F42+F44+F47</f>
        <v/>
      </c>
      <c r="G48" s="11">
        <f>G42+G44+G47</f>
        <v/>
      </c>
      <c r="H48" s="11">
        <f>H42+H44+H47</f>
        <v/>
      </c>
    </row>
  </sheetData>
  <conditionalFormatting sqref="C36:H36">
    <cfRule type="expression" priority="1" dxfId="0">
      <formula>ABS(C36)&gt;RoundingAllowed</formula>
    </cfRule>
  </conditionalFormatting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46" customWidth="1" min="1" max="1"/>
    <col width="4" customWidth="1" min="2" max="2"/>
    <col width="14" customWidth="1" min="3" max="3"/>
  </cols>
  <sheetData>
    <row r="1">
      <c r="A1" s="1" t="inlineStr">
        <is>
          <t>Discount rate</t>
        </is>
      </c>
    </row>
    <row r="2">
      <c r="A2" s="2" t="inlineStr">
        <is>
          <t>Weighted average cost of capital.</t>
        </is>
      </c>
    </row>
    <row r="4">
      <c r="A4" s="8" t="inlineStr">
        <is>
          <t>Cost of equity</t>
        </is>
      </c>
      <c r="B4" s="9" t="n"/>
      <c r="C4" s="9" t="n"/>
    </row>
    <row r="5">
      <c r="A5" s="2" t="inlineStr">
        <is>
          <t>Risk-free rate (10-year government bond)</t>
        </is>
      </c>
      <c r="C5" s="18" t="n">
        <v>0.07000000000000001</v>
      </c>
    </row>
    <row r="6">
      <c r="A6" s="2" t="inlineStr">
        <is>
          <t>Equity beta</t>
        </is>
      </c>
      <c r="C6" s="25" t="n">
        <v>1</v>
      </c>
    </row>
    <row r="7">
      <c r="A7" s="2" t="inlineStr">
        <is>
          <t>Equity risk premium</t>
        </is>
      </c>
      <c r="C7" s="18" t="n">
        <v>0.07000000000000001</v>
      </c>
    </row>
    <row r="8">
      <c r="A8" s="2" t="inlineStr">
        <is>
          <t>Size and company-specific premium</t>
        </is>
      </c>
      <c r="C8" s="18" t="n">
        <v>0.02</v>
      </c>
    </row>
    <row r="9">
      <c r="A9" s="3" t="inlineStr">
        <is>
          <t>Cost of equity</t>
        </is>
      </c>
      <c r="C9" s="26">
        <f>C5+C6*C7+C8</f>
        <v/>
      </c>
    </row>
    <row r="11">
      <c r="A11" s="8" t="inlineStr">
        <is>
          <t>Cost of debt</t>
        </is>
      </c>
      <c r="B11" s="9" t="n"/>
      <c r="C11" s="9" t="n"/>
    </row>
    <row r="12">
      <c r="A12" s="2" t="inlineStr">
        <is>
          <t>Pre-tax cost of debt</t>
        </is>
      </c>
      <c r="C12" s="17">
        <f>Assumptions!D18</f>
        <v/>
      </c>
    </row>
    <row r="13">
      <c r="A13" s="2" t="inlineStr">
        <is>
          <t>Tax rate</t>
        </is>
      </c>
      <c r="C13" s="17">
        <f>Assumptions!D17</f>
        <v/>
      </c>
    </row>
    <row r="14">
      <c r="A14" s="2" t="inlineStr">
        <is>
          <t>Post-tax cost of debt</t>
        </is>
      </c>
      <c r="C14" s="12">
        <f>C12*(1-C13)</f>
        <v/>
      </c>
    </row>
    <row r="16">
      <c r="A16" s="8" t="inlineStr">
        <is>
          <t>Weights</t>
        </is>
      </c>
      <c r="B16" s="9" t="n"/>
      <c r="C16" s="9" t="n"/>
    </row>
    <row r="17">
      <c r="A17" s="2" t="inlineStr">
        <is>
          <t>Debt / (debt + equity), target</t>
        </is>
      </c>
      <c r="C17" s="18" t="n">
        <v>0.2</v>
      </c>
    </row>
    <row r="18">
      <c r="A18" s="2" t="inlineStr">
        <is>
          <t>Equity / (debt + equity)</t>
        </is>
      </c>
      <c r="C18" s="12">
        <f>1-C17</f>
        <v/>
      </c>
    </row>
    <row r="20">
      <c r="A20" s="3" t="inlineStr">
        <is>
          <t>WACC</t>
        </is>
      </c>
      <c r="C20" s="26">
        <f>C18*C9+C17*C14</f>
        <v/>
      </c>
    </row>
  </sheetData>
  <dataValidations count="1">
    <dataValidation sqref="C5 C7:C8 C17" showDropDown="0" showInputMessage="0" showErrorMessage="1" allowBlank="0" error="Enter a rate between -100% and 100%." type="decimal" operator="between">
      <formula1>-1</formula1>
      <formula2>1</formula2>
    </dataValidation>
  </dataValidation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cols>
    <col width="50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Discounted cash flow valuation</t>
        </is>
      </c>
    </row>
    <row r="2">
      <c r="A2" s="2" t="inlineStr">
        <is>
          <t>Free cash flow to the firm, discounted at WACC. ₹ in lakhs.</t>
        </is>
      </c>
    </row>
    <row r="4">
      <c r="A4" s="2" t="inlineStr">
        <is>
          <t>Mid-year convention (1 = on, 0 = off)</t>
        </is>
      </c>
      <c r="C4" s="5" t="n">
        <v>1</v>
      </c>
    </row>
    <row r="5">
      <c r="A5" s="2" t="inlineStr">
        <is>
          <t>Terminal growth rate</t>
        </is>
      </c>
      <c r="C5" s="18" t="n">
        <v>0.05</v>
      </c>
    </row>
    <row r="6">
      <c r="A6" s="2" t="inlineStr">
        <is>
          <t>Exit EV / EBITDA multiple</t>
        </is>
      </c>
      <c r="C6" s="27" t="n">
        <v>10</v>
      </c>
    </row>
    <row r="7">
      <c r="A7" s="2" t="inlineStr">
        <is>
          <t>Weight on the perpetuity growth terminal value</t>
        </is>
      </c>
      <c r="C7" s="18" t="n">
        <v>0.5</v>
      </c>
    </row>
    <row r="8">
      <c r="A8" s="2" t="inlineStr">
        <is>
          <t>Shares outstanding (lakhs)</t>
        </is>
      </c>
      <c r="C8" s="28" t="n">
        <v>50</v>
      </c>
    </row>
    <row r="9">
      <c r="A9" t="inlineStr">
        <is>
          <t>WACC</t>
        </is>
      </c>
      <c r="C9" s="17">
        <f>WACC!C20</f>
        <v/>
      </c>
    </row>
    <row r="11">
      <c r="A11" s="6" t="inlineStr">
        <is>
          <t>₹ lakhs</t>
        </is>
      </c>
      <c r="B11" s="7" t="inlineStr"/>
      <c r="C11" s="7">
        <f>"FY "&amp;(Historicals!$D$3-1)&amp;"-"&amp;RIGHT(Historicals!$D$3,2)&amp;" (actual)"</f>
        <v/>
      </c>
      <c r="D11" s="7">
        <f>"FY "&amp;(Historicals!$D$3+1-1)&amp;"-"&amp;RIGHT(Historicals!$D$3+1,2)&amp;" (forecast)"</f>
        <v/>
      </c>
      <c r="E11" s="7">
        <f>"FY "&amp;(Historicals!$D$3+2-1)&amp;"-"&amp;RIGHT(Historicals!$D$3+2,2)&amp;" (forecast)"</f>
        <v/>
      </c>
      <c r="F11" s="7">
        <f>"FY "&amp;(Historicals!$D$3+3-1)&amp;"-"&amp;RIGHT(Historicals!$D$3+3,2)&amp;" (forecast)"</f>
        <v/>
      </c>
      <c r="G11" s="7">
        <f>"FY "&amp;(Historicals!$D$3+4-1)&amp;"-"&amp;RIGHT(Historicals!$D$3+4,2)&amp;" (forecast)"</f>
        <v/>
      </c>
      <c r="H11" s="7">
        <f>"FY "&amp;(Historicals!$D$3+5-1)&amp;"-"&amp;RIGHT(Historicals!$D$3+5,2)&amp;" (forecast)"</f>
        <v/>
      </c>
    </row>
    <row r="12">
      <c r="A12" s="2" t="inlineStr">
        <is>
          <t>EBIT</t>
        </is>
      </c>
      <c r="C12" s="22">
        <f>Financials!C12</f>
        <v/>
      </c>
      <c r="D12" s="15">
        <f>Financials!D12</f>
        <v/>
      </c>
      <c r="E12" s="15">
        <f>Financials!E12</f>
        <v/>
      </c>
      <c r="F12" s="15">
        <f>Financials!F12</f>
        <v/>
      </c>
      <c r="G12" s="15">
        <f>Financials!G12</f>
        <v/>
      </c>
      <c r="H12" s="15">
        <f>Financials!H12</f>
        <v/>
      </c>
    </row>
    <row r="13">
      <c r="A13" s="2" t="inlineStr">
        <is>
          <t>Tax on EBIT</t>
        </is>
      </c>
      <c r="D13" s="15">
        <f>MAX(0,D12)*Assumptions!D17</f>
        <v/>
      </c>
      <c r="E13" s="15">
        <f>MAX(0,E12)*Assumptions!E17</f>
        <v/>
      </c>
      <c r="F13" s="15">
        <f>MAX(0,F12)*Assumptions!F17</f>
        <v/>
      </c>
      <c r="G13" s="15">
        <f>MAX(0,G12)*Assumptions!G17</f>
        <v/>
      </c>
      <c r="H13" s="15">
        <f>MAX(0,H12)*Assumptions!H17</f>
        <v/>
      </c>
    </row>
    <row r="14">
      <c r="A14" s="2" t="inlineStr">
        <is>
          <t>NOPAT</t>
        </is>
      </c>
      <c r="D14" s="15">
        <f>D12-D13</f>
        <v/>
      </c>
      <c r="E14" s="15">
        <f>E12-E13</f>
        <v/>
      </c>
      <c r="F14" s="15">
        <f>F12-F13</f>
        <v/>
      </c>
      <c r="G14" s="15">
        <f>G12-G13</f>
        <v/>
      </c>
      <c r="H14" s="15">
        <f>H12-H13</f>
        <v/>
      </c>
    </row>
    <row r="15">
      <c r="A15" s="2" t="inlineStr">
        <is>
          <t>Add: depreciation and amortisation</t>
        </is>
      </c>
      <c r="D15" s="15">
        <f>Financials!D11</f>
        <v/>
      </c>
      <c r="E15" s="15">
        <f>Financials!E11</f>
        <v/>
      </c>
      <c r="F15" s="15">
        <f>Financials!F11</f>
        <v/>
      </c>
      <c r="G15" s="15">
        <f>Financials!G11</f>
        <v/>
      </c>
      <c r="H15" s="15">
        <f>Financials!H11</f>
        <v/>
      </c>
    </row>
    <row r="16">
      <c r="A16" s="2" t="inlineStr">
        <is>
          <t>Less: capital expenditure</t>
        </is>
      </c>
      <c r="D16" s="15">
        <f>Schedules!D7</f>
        <v/>
      </c>
      <c r="E16" s="15">
        <f>Schedules!E7</f>
        <v/>
      </c>
      <c r="F16" s="15">
        <f>Schedules!F7</f>
        <v/>
      </c>
      <c r="G16" s="15">
        <f>Schedules!G7</f>
        <v/>
      </c>
      <c r="H16" s="15">
        <f>Schedules!H7</f>
        <v/>
      </c>
    </row>
    <row r="17">
      <c r="A17" s="2" t="inlineStr">
        <is>
          <t>Less: increase in net working capital</t>
        </is>
      </c>
      <c r="D17" s="15">
        <f>Schedules!D18</f>
        <v/>
      </c>
      <c r="E17" s="15">
        <f>Schedules!E18</f>
        <v/>
      </c>
      <c r="F17" s="15">
        <f>Schedules!F18</f>
        <v/>
      </c>
      <c r="G17" s="15">
        <f>Schedules!G18</f>
        <v/>
      </c>
      <c r="H17" s="15">
        <f>Schedules!H18</f>
        <v/>
      </c>
    </row>
    <row r="18">
      <c r="A18" s="3" t="inlineStr">
        <is>
          <t>Free cash flow to the firm</t>
        </is>
      </c>
      <c r="D18" s="23">
        <f>D14+D15-D16-D17</f>
        <v/>
      </c>
      <c r="E18" s="23">
        <f>E14+E15-E16-E17</f>
        <v/>
      </c>
      <c r="F18" s="23">
        <f>F14+F15-F16-F17</f>
        <v/>
      </c>
      <c r="G18" s="23">
        <f>G14+G15-G16-G17</f>
        <v/>
      </c>
      <c r="H18" s="23">
        <f>H14+H15-H16-H17</f>
        <v/>
      </c>
    </row>
    <row r="19">
      <c r="A19" s="2" t="inlineStr">
        <is>
          <t>Year</t>
        </is>
      </c>
      <c r="D19" s="29" t="n">
        <v>1</v>
      </c>
      <c r="E19" s="29" t="n">
        <v>2</v>
      </c>
      <c r="F19" s="29" t="n">
        <v>3</v>
      </c>
      <c r="G19" s="29" t="n">
        <v>4</v>
      </c>
      <c r="H19" s="29" t="n">
        <v>5</v>
      </c>
    </row>
    <row r="20">
      <c r="A20" s="2" t="inlineStr">
        <is>
          <t>Discount period</t>
        </is>
      </c>
      <c r="D20" s="30">
        <f>D19-0.5*$C$4</f>
        <v/>
      </c>
      <c r="E20" s="30">
        <f>E19-0.5*$C$4</f>
        <v/>
      </c>
      <c r="F20" s="30">
        <f>F19-0.5*$C$4</f>
        <v/>
      </c>
      <c r="G20" s="30">
        <f>G19-0.5*$C$4</f>
        <v/>
      </c>
      <c r="H20" s="30">
        <f>H19-0.5*$C$4</f>
        <v/>
      </c>
    </row>
    <row r="21">
      <c r="A21" s="2" t="inlineStr">
        <is>
          <t>Discount factor</t>
        </is>
      </c>
      <c r="D21" s="31">
        <f>1/(1+$C$9)^D20</f>
        <v/>
      </c>
      <c r="E21" s="31">
        <f>1/(1+$C$9)^E20</f>
        <v/>
      </c>
      <c r="F21" s="31">
        <f>1/(1+$C$9)^F20</f>
        <v/>
      </c>
      <c r="G21" s="31">
        <f>1/(1+$C$9)^G20</f>
        <v/>
      </c>
      <c r="H21" s="31">
        <f>1/(1+$C$9)^H20</f>
        <v/>
      </c>
    </row>
    <row r="22">
      <c r="A22" s="3" t="inlineStr">
        <is>
          <t>Present value of free cash flow</t>
        </is>
      </c>
      <c r="D22" s="23">
        <f>D18*D21</f>
        <v/>
      </c>
      <c r="E22" s="23">
        <f>E18*E21</f>
        <v/>
      </c>
      <c r="F22" s="23">
        <f>F18*F21</f>
        <v/>
      </c>
      <c r="G22" s="23">
        <f>G18*G21</f>
        <v/>
      </c>
      <c r="H22" s="23">
        <f>H18*H21</f>
        <v/>
      </c>
    </row>
    <row r="24">
      <c r="A24" s="2" t="inlineStr">
        <is>
          <t>Sum of present values of free cash flow</t>
        </is>
      </c>
      <c r="C24" s="15">
        <f>SUM(D22:H22)</f>
        <v/>
      </c>
    </row>
    <row r="25">
      <c r="A25" s="2" t="inlineStr">
        <is>
          <t>Terminal value: perpetuity growth</t>
        </is>
      </c>
      <c r="C25" s="15">
        <f>IF(C9&gt;C5,H18*(1+C5)/(C9-C5),NA())</f>
        <v/>
      </c>
    </row>
    <row r="26">
      <c r="A26" s="2" t="inlineStr">
        <is>
          <t>Terminal value: exit multiple</t>
        </is>
      </c>
      <c r="C26" s="15">
        <f>Financials!H10*C6</f>
        <v/>
      </c>
    </row>
    <row r="27">
      <c r="A27" s="2" t="inlineStr">
        <is>
          <t>Terminal value used (weighted)</t>
        </is>
      </c>
      <c r="C27" s="15">
        <f>C7*C25+(1-C7)*C26</f>
        <v/>
      </c>
    </row>
    <row r="28">
      <c r="A28" s="2" t="inlineStr">
        <is>
          <t>Present value of terminal value</t>
        </is>
      </c>
      <c r="C28" s="15">
        <f>C27/(1+C9)^H19</f>
        <v/>
      </c>
    </row>
    <row r="29">
      <c r="A29" s="3" t="inlineStr">
        <is>
          <t>Enterprise value</t>
        </is>
      </c>
      <c r="C29" s="23">
        <f>C24+C28</f>
        <v/>
      </c>
    </row>
    <row r="30">
      <c r="A30" s="2" t="inlineStr">
        <is>
          <t>Less: borrowings and lease liabilities</t>
        </is>
      </c>
      <c r="C30" s="15">
        <f>Financials!C25</f>
        <v/>
      </c>
    </row>
    <row r="31">
      <c r="A31" s="2" t="inlineStr">
        <is>
          <t>Add: cash, bank balances and investments</t>
        </is>
      </c>
      <c r="C31" s="15">
        <f>Financials!C34+Financials!C30</f>
        <v/>
      </c>
    </row>
    <row r="32">
      <c r="A32" s="3" t="inlineStr">
        <is>
          <t>Equity value</t>
        </is>
      </c>
      <c r="C32" s="23">
        <f>C29-C30+C31</f>
        <v/>
      </c>
    </row>
    <row r="33">
      <c r="A33" s="3" t="inlineStr">
        <is>
          <t>Value per share (₹)</t>
        </is>
      </c>
      <c r="C33" s="32">
        <f>IFERROR(C32/C8,"")</f>
        <v/>
      </c>
    </row>
    <row r="35">
      <c r="A35" s="2" t="inlineStr">
        <is>
          <t>Terminal value as a share of enterprise value</t>
        </is>
      </c>
      <c r="C35" s="12">
        <f>IFERROR(C28/C29,"")</f>
        <v/>
      </c>
    </row>
    <row r="36">
      <c r="A36" s="2" t="inlineStr">
        <is>
          <t>Implied EV / EBITDA, last actual year</t>
        </is>
      </c>
      <c r="C36" s="14">
        <f>IFERROR(C29/Financials!C10,"")</f>
        <v/>
      </c>
    </row>
    <row r="37">
      <c r="A37" s="2" t="inlineStr">
        <is>
          <t>Exit multiple implied by the perpetuity method</t>
        </is>
      </c>
      <c r="C37" s="14">
        <f>IFERROR(C25/Financials!H10,"")</f>
        <v/>
      </c>
    </row>
    <row r="38">
      <c r="A38" s="2" t="inlineStr">
        <is>
          <t>Growth implied by the exit multiple</t>
        </is>
      </c>
      <c r="C38" s="12">
        <f>IFERROR((C26*C9-H18)/(C26+H18),"")</f>
        <v/>
      </c>
    </row>
  </sheetData>
  <dataValidations count="2">
    <dataValidation sqref="C4" showDropDown="0" showInputMessage="0" showErrorMessage="0" allowBlank="0" type="list">
      <formula1>"0,1"</formula1>
    </dataValidation>
    <dataValidation sqref="C7" showDropDown="0" showInputMessage="0" showErrorMessage="0" allowBlank="0" type="decimal" operator="between">
      <formula1>0</formula1>
      <formula2>1</formula2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selection activeCell="A1" sqref="A1"/>
    </sheetView>
  </sheetViews>
  <sheetFormatPr baseColWidth="8" defaultRowHeight="15"/>
  <cols>
    <col width="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Sensitivity</t>
        </is>
      </c>
    </row>
    <row r="2">
      <c r="A2" s="2" t="inlineStr">
        <is>
          <t>Equity value (₹ lakhs) as WACC and the terminal assumption change. Each grid uses one terminal value method alone; its centre cell has the DCF's WACC and terminal growth or exit multiple.</t>
        </is>
      </c>
    </row>
    <row r="4">
      <c r="A4" s="3" t="inlineStr">
        <is>
          <t>Perpetuity growth method: WACC down, terminal growth across</t>
        </is>
      </c>
    </row>
    <row r="5">
      <c r="B5" t="inlineStr">
        <is>
          <t>WACC \ g</t>
        </is>
      </c>
      <c r="C5" s="26">
        <f>DCF!$C$5+-0.01</f>
        <v/>
      </c>
      <c r="D5" s="26">
        <f>DCF!$C$5+-0.005</f>
        <v/>
      </c>
      <c r="E5" s="26">
        <f>DCF!$C$5+0.0</f>
        <v/>
      </c>
      <c r="F5" s="26">
        <f>DCF!$C$5+0.005</f>
        <v/>
      </c>
      <c r="G5" s="26">
        <f>DCF!$C$5+0.01</f>
        <v/>
      </c>
    </row>
    <row r="6">
      <c r="B6" s="26">
        <f>DCF!$C$9+-0.02</f>
        <v/>
      </c>
      <c r="C6" s="15">
        <f>IF($B6&gt;C$5,SUMPRODUCT(DCF!$D$18:$H$18/(1+$B6)^DCF!$D$20:$H$20)+DCF!$H$18*(1+C$5)/($B6-C$5)/(1+$B6)^DCF!$H$19-DCF!$C$30+DCF!$C$31,NA())</f>
        <v/>
      </c>
      <c r="D6" s="15">
        <f>IF($B6&gt;D$5,SUMPRODUCT(DCF!$D$18:$H$18/(1+$B6)^DCF!$D$20:$H$20)+DCF!$H$18*(1+D$5)/($B6-D$5)/(1+$B6)^DCF!$H$19-DCF!$C$30+DCF!$C$31,NA())</f>
        <v/>
      </c>
      <c r="E6" s="15">
        <f>IF($B6&gt;E$5,SUMPRODUCT(DCF!$D$18:$H$18/(1+$B6)^DCF!$D$20:$H$20)+DCF!$H$18*(1+E$5)/($B6-E$5)/(1+$B6)^DCF!$H$19-DCF!$C$30+DCF!$C$31,NA())</f>
        <v/>
      </c>
      <c r="F6" s="15">
        <f>IF($B6&gt;F$5,SUMPRODUCT(DCF!$D$18:$H$18/(1+$B6)^DCF!$D$20:$H$20)+DCF!$H$18*(1+F$5)/($B6-F$5)/(1+$B6)^DCF!$H$19-DCF!$C$30+DCF!$C$31,NA())</f>
        <v/>
      </c>
      <c r="G6" s="15">
        <f>IF($B6&gt;G$5,SUMPRODUCT(DCF!$D$18:$H$18/(1+$B6)^DCF!$D$20:$H$20)+DCF!$H$18*(1+G$5)/($B6-G$5)/(1+$B6)^DCF!$H$19-DCF!$C$30+DCF!$C$31,NA())</f>
        <v/>
      </c>
    </row>
    <row r="7">
      <c r="B7" s="26">
        <f>DCF!$C$9+-0.01</f>
        <v/>
      </c>
      <c r="C7" s="15">
        <f>IF($B7&gt;C$5,SUMPRODUCT(DCF!$D$18:$H$18/(1+$B7)^DCF!$D$20:$H$20)+DCF!$H$18*(1+C$5)/($B7-C$5)/(1+$B7)^DCF!$H$19-DCF!$C$30+DCF!$C$31,NA())</f>
        <v/>
      </c>
      <c r="D7" s="15">
        <f>IF($B7&gt;D$5,SUMPRODUCT(DCF!$D$18:$H$18/(1+$B7)^DCF!$D$20:$H$20)+DCF!$H$18*(1+D$5)/($B7-D$5)/(1+$B7)^DCF!$H$19-DCF!$C$30+DCF!$C$31,NA())</f>
        <v/>
      </c>
      <c r="E7" s="15">
        <f>IF($B7&gt;E$5,SUMPRODUCT(DCF!$D$18:$H$18/(1+$B7)^DCF!$D$20:$H$20)+DCF!$H$18*(1+E$5)/($B7-E$5)/(1+$B7)^DCF!$H$19-DCF!$C$30+DCF!$C$31,NA())</f>
        <v/>
      </c>
      <c r="F7" s="15">
        <f>IF($B7&gt;F$5,SUMPRODUCT(DCF!$D$18:$H$18/(1+$B7)^DCF!$D$20:$H$20)+DCF!$H$18*(1+F$5)/($B7-F$5)/(1+$B7)^DCF!$H$19-DCF!$C$30+DCF!$C$31,NA())</f>
        <v/>
      </c>
      <c r="G7" s="15">
        <f>IF($B7&gt;G$5,SUMPRODUCT(DCF!$D$18:$H$18/(1+$B7)^DCF!$D$20:$H$20)+DCF!$H$18*(1+G$5)/($B7-G$5)/(1+$B7)^DCF!$H$19-DCF!$C$30+DCF!$C$31,NA())</f>
        <v/>
      </c>
    </row>
    <row r="8">
      <c r="B8" s="26">
        <f>DCF!$C$9+0.0</f>
        <v/>
      </c>
      <c r="C8" s="15">
        <f>IF($B8&gt;C$5,SUMPRODUCT(DCF!$D$18:$H$18/(1+$B8)^DCF!$D$20:$H$20)+DCF!$H$18*(1+C$5)/($B8-C$5)/(1+$B8)^DCF!$H$19-DCF!$C$30+DCF!$C$31,NA())</f>
        <v/>
      </c>
      <c r="D8" s="15">
        <f>IF($B8&gt;D$5,SUMPRODUCT(DCF!$D$18:$H$18/(1+$B8)^DCF!$D$20:$H$20)+DCF!$H$18*(1+D$5)/($B8-D$5)/(1+$B8)^DCF!$H$19-DCF!$C$30+DCF!$C$31,NA())</f>
        <v/>
      </c>
      <c r="E8" s="33">
        <f>IF($B8&gt;E$5,SUMPRODUCT(DCF!$D$18:$H$18/(1+$B8)^DCF!$D$20:$H$20)+DCF!$H$18*(1+E$5)/($B8-E$5)/(1+$B8)^DCF!$H$19-DCF!$C$30+DCF!$C$31,NA())</f>
        <v/>
      </c>
      <c r="F8" s="15">
        <f>IF($B8&gt;F$5,SUMPRODUCT(DCF!$D$18:$H$18/(1+$B8)^DCF!$D$20:$H$20)+DCF!$H$18*(1+F$5)/($B8-F$5)/(1+$B8)^DCF!$H$19-DCF!$C$30+DCF!$C$31,NA())</f>
        <v/>
      </c>
      <c r="G8" s="15">
        <f>IF($B8&gt;G$5,SUMPRODUCT(DCF!$D$18:$H$18/(1+$B8)^DCF!$D$20:$H$20)+DCF!$H$18*(1+G$5)/($B8-G$5)/(1+$B8)^DCF!$H$19-DCF!$C$30+DCF!$C$31,NA())</f>
        <v/>
      </c>
    </row>
    <row r="9">
      <c r="B9" s="26">
        <f>DCF!$C$9+0.01</f>
        <v/>
      </c>
      <c r="C9" s="15">
        <f>IF($B9&gt;C$5,SUMPRODUCT(DCF!$D$18:$H$18/(1+$B9)^DCF!$D$20:$H$20)+DCF!$H$18*(1+C$5)/($B9-C$5)/(1+$B9)^DCF!$H$19-DCF!$C$30+DCF!$C$31,NA())</f>
        <v/>
      </c>
      <c r="D9" s="15">
        <f>IF($B9&gt;D$5,SUMPRODUCT(DCF!$D$18:$H$18/(1+$B9)^DCF!$D$20:$H$20)+DCF!$H$18*(1+D$5)/($B9-D$5)/(1+$B9)^DCF!$H$19-DCF!$C$30+DCF!$C$31,NA())</f>
        <v/>
      </c>
      <c r="E9" s="15">
        <f>IF($B9&gt;E$5,SUMPRODUCT(DCF!$D$18:$H$18/(1+$B9)^DCF!$D$20:$H$20)+DCF!$H$18*(1+E$5)/($B9-E$5)/(1+$B9)^DCF!$H$19-DCF!$C$30+DCF!$C$31,NA())</f>
        <v/>
      </c>
      <c r="F9" s="15">
        <f>IF($B9&gt;F$5,SUMPRODUCT(DCF!$D$18:$H$18/(1+$B9)^DCF!$D$20:$H$20)+DCF!$H$18*(1+F$5)/($B9-F$5)/(1+$B9)^DCF!$H$19-DCF!$C$30+DCF!$C$31,NA())</f>
        <v/>
      </c>
      <c r="G9" s="15">
        <f>IF($B9&gt;G$5,SUMPRODUCT(DCF!$D$18:$H$18/(1+$B9)^DCF!$D$20:$H$20)+DCF!$H$18*(1+G$5)/($B9-G$5)/(1+$B9)^DCF!$H$19-DCF!$C$30+DCF!$C$31,NA())</f>
        <v/>
      </c>
    </row>
    <row r="10">
      <c r="B10" s="26">
        <f>DCF!$C$9+0.02</f>
        <v/>
      </c>
      <c r="C10" s="15">
        <f>IF($B10&gt;C$5,SUMPRODUCT(DCF!$D$18:$H$18/(1+$B10)^DCF!$D$20:$H$20)+DCF!$H$18*(1+C$5)/($B10-C$5)/(1+$B10)^DCF!$H$19-DCF!$C$30+DCF!$C$31,NA())</f>
        <v/>
      </c>
      <c r="D10" s="15">
        <f>IF($B10&gt;D$5,SUMPRODUCT(DCF!$D$18:$H$18/(1+$B10)^DCF!$D$20:$H$20)+DCF!$H$18*(1+D$5)/($B10-D$5)/(1+$B10)^DCF!$H$19-DCF!$C$30+DCF!$C$31,NA())</f>
        <v/>
      </c>
      <c r="E10" s="15">
        <f>IF($B10&gt;E$5,SUMPRODUCT(DCF!$D$18:$H$18/(1+$B10)^DCF!$D$20:$H$20)+DCF!$H$18*(1+E$5)/($B10-E$5)/(1+$B10)^DCF!$H$19-DCF!$C$30+DCF!$C$31,NA())</f>
        <v/>
      </c>
      <c r="F10" s="15">
        <f>IF($B10&gt;F$5,SUMPRODUCT(DCF!$D$18:$H$18/(1+$B10)^DCF!$D$20:$H$20)+DCF!$H$18*(1+F$5)/($B10-F$5)/(1+$B10)^DCF!$H$19-DCF!$C$30+DCF!$C$31,NA())</f>
        <v/>
      </c>
      <c r="G10" s="15">
        <f>IF($B10&gt;G$5,SUMPRODUCT(DCF!$D$18:$H$18/(1+$B10)^DCF!$D$20:$H$20)+DCF!$H$18*(1+G$5)/($B10-G$5)/(1+$B10)^DCF!$H$19-DCF!$C$30+DCF!$C$31,NA())</f>
        <v/>
      </c>
    </row>
    <row r="13">
      <c r="A13" s="3" t="inlineStr">
        <is>
          <t>Exit multiple method: WACC down, exit EV / EBITDA across</t>
        </is>
      </c>
    </row>
    <row r="14">
      <c r="B14" t="inlineStr">
        <is>
          <t>WACC \ multiple</t>
        </is>
      </c>
      <c r="C14" s="34">
        <f>DCF!$C$6+-2</f>
        <v/>
      </c>
      <c r="D14" s="34">
        <f>DCF!$C$6+-1</f>
        <v/>
      </c>
      <c r="E14" s="34">
        <f>DCF!$C$6+0</f>
        <v/>
      </c>
      <c r="F14" s="34">
        <f>DCF!$C$6+1</f>
        <v/>
      </c>
      <c r="G14" s="34">
        <f>DCF!$C$6+2</f>
        <v/>
      </c>
    </row>
    <row r="15">
      <c r="B15" s="26">
        <f>DCF!$C$9+-0.02</f>
        <v/>
      </c>
      <c r="C15" s="15">
        <f>SUMPRODUCT(DCF!$D$18:$H$18/(1+$B15)^DCF!$D$20:$H$20)+Financials!$H$10*C$14/(1+$B15)^DCF!$H$19-DCF!$C$30+DCF!$C$31</f>
        <v/>
      </c>
      <c r="D15" s="15">
        <f>SUMPRODUCT(DCF!$D$18:$H$18/(1+$B15)^DCF!$D$20:$H$20)+Financials!$H$10*D$14/(1+$B15)^DCF!$H$19-DCF!$C$30+DCF!$C$31</f>
        <v/>
      </c>
      <c r="E15" s="15">
        <f>SUMPRODUCT(DCF!$D$18:$H$18/(1+$B15)^DCF!$D$20:$H$20)+Financials!$H$10*E$14/(1+$B15)^DCF!$H$19-DCF!$C$30+DCF!$C$31</f>
        <v/>
      </c>
      <c r="F15" s="15">
        <f>SUMPRODUCT(DCF!$D$18:$H$18/(1+$B15)^DCF!$D$20:$H$20)+Financials!$H$10*F$14/(1+$B15)^DCF!$H$19-DCF!$C$30+DCF!$C$31</f>
        <v/>
      </c>
      <c r="G15" s="15">
        <f>SUMPRODUCT(DCF!$D$18:$H$18/(1+$B15)^DCF!$D$20:$H$20)+Financials!$H$10*G$14/(1+$B15)^DCF!$H$19-DCF!$C$30+DCF!$C$31</f>
        <v/>
      </c>
    </row>
    <row r="16">
      <c r="B16" s="26">
        <f>DCF!$C$9+-0.01</f>
        <v/>
      </c>
      <c r="C16" s="15">
        <f>SUMPRODUCT(DCF!$D$18:$H$18/(1+$B16)^DCF!$D$20:$H$20)+Financials!$H$10*C$14/(1+$B16)^DCF!$H$19-DCF!$C$30+DCF!$C$31</f>
        <v/>
      </c>
      <c r="D16" s="15">
        <f>SUMPRODUCT(DCF!$D$18:$H$18/(1+$B16)^DCF!$D$20:$H$20)+Financials!$H$10*D$14/(1+$B16)^DCF!$H$19-DCF!$C$30+DCF!$C$31</f>
        <v/>
      </c>
      <c r="E16" s="15">
        <f>SUMPRODUCT(DCF!$D$18:$H$18/(1+$B16)^DCF!$D$20:$H$20)+Financials!$H$10*E$14/(1+$B16)^DCF!$H$19-DCF!$C$30+DCF!$C$31</f>
        <v/>
      </c>
      <c r="F16" s="15">
        <f>SUMPRODUCT(DCF!$D$18:$H$18/(1+$B16)^DCF!$D$20:$H$20)+Financials!$H$10*F$14/(1+$B16)^DCF!$H$19-DCF!$C$30+DCF!$C$31</f>
        <v/>
      </c>
      <c r="G16" s="15">
        <f>SUMPRODUCT(DCF!$D$18:$H$18/(1+$B16)^DCF!$D$20:$H$20)+Financials!$H$10*G$14/(1+$B16)^DCF!$H$19-DCF!$C$30+DCF!$C$31</f>
        <v/>
      </c>
    </row>
    <row r="17">
      <c r="B17" s="26">
        <f>DCF!$C$9+0.0</f>
        <v/>
      </c>
      <c r="C17" s="15">
        <f>SUMPRODUCT(DCF!$D$18:$H$18/(1+$B17)^DCF!$D$20:$H$20)+Financials!$H$10*C$14/(1+$B17)^DCF!$H$19-DCF!$C$30+DCF!$C$31</f>
        <v/>
      </c>
      <c r="D17" s="15">
        <f>SUMPRODUCT(DCF!$D$18:$H$18/(1+$B17)^DCF!$D$20:$H$20)+Financials!$H$10*D$14/(1+$B17)^DCF!$H$19-DCF!$C$30+DCF!$C$31</f>
        <v/>
      </c>
      <c r="E17" s="33">
        <f>SUMPRODUCT(DCF!$D$18:$H$18/(1+$B17)^DCF!$D$20:$H$20)+Financials!$H$10*E$14/(1+$B17)^DCF!$H$19-DCF!$C$30+DCF!$C$31</f>
        <v/>
      </c>
      <c r="F17" s="15">
        <f>SUMPRODUCT(DCF!$D$18:$H$18/(1+$B17)^DCF!$D$20:$H$20)+Financials!$H$10*F$14/(1+$B17)^DCF!$H$19-DCF!$C$30+DCF!$C$31</f>
        <v/>
      </c>
      <c r="G17" s="15">
        <f>SUMPRODUCT(DCF!$D$18:$H$18/(1+$B17)^DCF!$D$20:$H$20)+Financials!$H$10*G$14/(1+$B17)^DCF!$H$19-DCF!$C$30+DCF!$C$31</f>
        <v/>
      </c>
    </row>
    <row r="18">
      <c r="B18" s="26">
        <f>DCF!$C$9+0.01</f>
        <v/>
      </c>
      <c r="C18" s="15">
        <f>SUMPRODUCT(DCF!$D$18:$H$18/(1+$B18)^DCF!$D$20:$H$20)+Financials!$H$10*C$14/(1+$B18)^DCF!$H$19-DCF!$C$30+DCF!$C$31</f>
        <v/>
      </c>
      <c r="D18" s="15">
        <f>SUMPRODUCT(DCF!$D$18:$H$18/(1+$B18)^DCF!$D$20:$H$20)+Financials!$H$10*D$14/(1+$B18)^DCF!$H$19-DCF!$C$30+DCF!$C$31</f>
        <v/>
      </c>
      <c r="E18" s="15">
        <f>SUMPRODUCT(DCF!$D$18:$H$18/(1+$B18)^DCF!$D$20:$H$20)+Financials!$H$10*E$14/(1+$B18)^DCF!$H$19-DCF!$C$30+DCF!$C$31</f>
        <v/>
      </c>
      <c r="F18" s="15">
        <f>SUMPRODUCT(DCF!$D$18:$H$18/(1+$B18)^DCF!$D$20:$H$20)+Financials!$H$10*F$14/(1+$B18)^DCF!$H$19-DCF!$C$30+DCF!$C$31</f>
        <v/>
      </c>
      <c r="G18" s="15">
        <f>SUMPRODUCT(DCF!$D$18:$H$18/(1+$B18)^DCF!$D$20:$H$20)+Financials!$H$10*G$14/(1+$B18)^DCF!$H$19-DCF!$C$30+DCF!$C$31</f>
        <v/>
      </c>
    </row>
    <row r="19">
      <c r="B19" s="26">
        <f>DCF!$C$9+0.02</f>
        <v/>
      </c>
      <c r="C19" s="15">
        <f>SUMPRODUCT(DCF!$D$18:$H$18/(1+$B19)^DCF!$D$20:$H$20)+Financials!$H$10*C$14/(1+$B19)^DCF!$H$19-DCF!$C$30+DCF!$C$31</f>
        <v/>
      </c>
      <c r="D19" s="15">
        <f>SUMPRODUCT(DCF!$D$18:$H$18/(1+$B19)^DCF!$D$20:$H$20)+Financials!$H$10*D$14/(1+$B19)^DCF!$H$19-DCF!$C$30+DCF!$C$31</f>
        <v/>
      </c>
      <c r="E19" s="15">
        <f>SUMPRODUCT(DCF!$D$18:$H$18/(1+$B19)^DCF!$D$20:$H$20)+Financials!$H$10*E$14/(1+$B19)^DCF!$H$19-DCF!$C$30+DCF!$C$31</f>
        <v/>
      </c>
      <c r="F19" s="15">
        <f>SUMPRODUCT(DCF!$D$18:$H$18/(1+$B19)^DCF!$D$20:$H$20)+Financials!$H$10*F$14/(1+$B19)^DCF!$H$19-DCF!$C$30+DCF!$C$31</f>
        <v/>
      </c>
      <c r="G19" s="15">
        <f>SUMPRODUCT(DCF!$D$18:$H$18/(1+$B19)^DCF!$D$20:$H$20)+Financials!$H$10*G$14/(1+$B19)^DCF!$H$19-DCF!$C$30+DCF!$C$31</f>
        <v/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cols>
    <col width="44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Summary</t>
        </is>
      </c>
    </row>
    <row r="2">
      <c r="A2" s="2" t="inlineStr">
        <is>
          <t>The answer, for the scenario in use. ₹ in lakhs.</t>
        </is>
      </c>
    </row>
    <row r="4">
      <c r="A4" s="3" t="inlineStr">
        <is>
          <t>Scenario</t>
        </is>
      </c>
      <c r="C4" s="35">
        <f>Assumptions!C4</f>
        <v/>
      </c>
    </row>
    <row r="5">
      <c r="A5" s="3" t="inlineStr">
        <is>
          <t>WACC</t>
        </is>
      </c>
      <c r="C5" s="17">
        <f>WACC!C20</f>
        <v/>
      </c>
    </row>
    <row r="6">
      <c r="A6" s="3" t="inlineStr">
        <is>
          <t>Enterprise value</t>
        </is>
      </c>
      <c r="C6" s="22">
        <f>DCF!C29</f>
        <v/>
      </c>
    </row>
    <row r="7">
      <c r="A7" s="3" t="inlineStr">
        <is>
          <t>Equity value</t>
        </is>
      </c>
      <c r="C7" s="22">
        <f>DCF!C32</f>
        <v/>
      </c>
    </row>
    <row r="8">
      <c r="A8" s="3" t="inlineStr">
        <is>
          <t>Value per share (₹)</t>
        </is>
      </c>
      <c r="C8" s="36">
        <f>DCF!C33</f>
        <v/>
      </c>
    </row>
    <row r="9">
      <c r="A9" s="3" t="inlineStr">
        <is>
          <t>Terminal value as a share of enterprise value</t>
        </is>
      </c>
      <c r="C9" s="17">
        <f>DCF!C35</f>
        <v/>
      </c>
    </row>
    <row r="10">
      <c r="A10" s="3" t="inlineStr">
        <is>
          <t>Model checks</t>
        </is>
      </c>
      <c r="C10" s="35">
        <f>Checks!C12</f>
        <v/>
      </c>
    </row>
    <row r="12">
      <c r="A12" s="6" t="inlineStr">
        <is>
          <t>₹ lakhs</t>
        </is>
      </c>
      <c r="B12" s="7" t="inlineStr"/>
      <c r="C12" s="7">
        <f>"FY "&amp;(Historicals!$D$3-1)&amp;"-"&amp;RIGHT(Historicals!$D$3,2)&amp;" (actual)"</f>
        <v/>
      </c>
      <c r="D12" s="7">
        <f>"FY "&amp;(Historicals!$D$3+1-1)&amp;"-"&amp;RIGHT(Historicals!$D$3+1,2)&amp;" (forecast)"</f>
        <v/>
      </c>
      <c r="E12" s="7">
        <f>"FY "&amp;(Historicals!$D$3+2-1)&amp;"-"&amp;RIGHT(Historicals!$D$3+2,2)&amp;" (forecast)"</f>
        <v/>
      </c>
      <c r="F12" s="7">
        <f>"FY "&amp;(Historicals!$D$3+3-1)&amp;"-"&amp;RIGHT(Historicals!$D$3+3,2)&amp;" (forecast)"</f>
        <v/>
      </c>
      <c r="G12" s="7">
        <f>"FY "&amp;(Historicals!$D$3+4-1)&amp;"-"&amp;RIGHT(Historicals!$D$3+4,2)&amp;" (forecast)"</f>
        <v/>
      </c>
      <c r="H12" s="7">
        <f>"FY "&amp;(Historicals!$D$3+5-1)&amp;"-"&amp;RIGHT(Historicals!$D$3+5,2)&amp;" (forecast)"</f>
        <v/>
      </c>
    </row>
    <row r="13">
      <c r="A13" t="inlineStr">
        <is>
          <t>Revenue from operations</t>
        </is>
      </c>
      <c r="C13" s="22">
        <f>Financials!C6</f>
        <v/>
      </c>
      <c r="D13" s="22">
        <f>Financials!D6</f>
        <v/>
      </c>
      <c r="E13" s="22">
        <f>Financials!E6</f>
        <v/>
      </c>
      <c r="F13" s="22">
        <f>Financials!F6</f>
        <v/>
      </c>
      <c r="G13" s="22">
        <f>Financials!G6</f>
        <v/>
      </c>
      <c r="H13" s="22">
        <f>Financials!H6</f>
        <v/>
      </c>
    </row>
    <row r="14">
      <c r="A14" t="inlineStr">
        <is>
          <t>EBITDA</t>
        </is>
      </c>
      <c r="C14" s="22">
        <f>Financials!C10</f>
        <v/>
      </c>
      <c r="D14" s="22">
        <f>Financials!D10</f>
        <v/>
      </c>
      <c r="E14" s="22">
        <f>Financials!E10</f>
        <v/>
      </c>
      <c r="F14" s="22">
        <f>Financials!F10</f>
        <v/>
      </c>
      <c r="G14" s="22">
        <f>Financials!G10</f>
        <v/>
      </c>
      <c r="H14" s="22">
        <f>Financials!H10</f>
        <v/>
      </c>
    </row>
    <row r="15">
      <c r="A15" t="inlineStr">
        <is>
          <t>Profit after tax</t>
        </is>
      </c>
      <c r="C15" s="22">
        <f>Financials!C19</f>
        <v/>
      </c>
      <c r="D15" s="22">
        <f>Financials!D19</f>
        <v/>
      </c>
      <c r="E15" s="22">
        <f>Financials!E19</f>
        <v/>
      </c>
      <c r="F15" s="22">
        <f>Financials!F19</f>
        <v/>
      </c>
      <c r="G15" s="22">
        <f>Financials!G19</f>
        <v/>
      </c>
      <c r="H15" s="22">
        <f>Financials!H19</f>
        <v/>
      </c>
    </row>
    <row r="16">
      <c r="A16" t="inlineStr">
        <is>
          <t>Free cash flow to the firm</t>
        </is>
      </c>
      <c r="D16" s="22">
        <f>DCF!D18</f>
        <v/>
      </c>
      <c r="E16" s="22">
        <f>DCF!E18</f>
        <v/>
      </c>
      <c r="F16" s="22">
        <f>DCF!F18</f>
        <v/>
      </c>
      <c r="G16" s="22">
        <f>DCF!G18</f>
        <v/>
      </c>
      <c r="H16" s="22">
        <f>DCF!H18</f>
        <v/>
      </c>
    </row>
    <row r="17">
      <c r="A17" t="inlineStr">
        <is>
          <t>EBITDA margin</t>
        </is>
      </c>
      <c r="C17" s="12">
        <f>IFERROR(C14/C13,"")</f>
        <v/>
      </c>
      <c r="D17" s="12">
        <f>IFERROR(D14/D13,"")</f>
        <v/>
      </c>
      <c r="E17" s="12">
        <f>IFERROR(E14/E13,"")</f>
        <v/>
      </c>
      <c r="F17" s="12">
        <f>IFERROR(F14/F13,"")</f>
        <v/>
      </c>
      <c r="G17" s="12">
        <f>IFERROR(G14/G13,"")</f>
        <v/>
      </c>
      <c r="H17" s="12">
        <f>IFERROR(H14/H13,"")</f>
        <v/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56" customWidth="1" min="1" max="1"/>
    <col width="4" customWidth="1" min="2" max="2"/>
    <col width="14" customWidth="1" min="3" max="3"/>
  </cols>
  <sheetData>
    <row r="1">
      <c r="A1" s="1" t="inlineStr">
        <is>
          <t>Checks</t>
        </is>
      </c>
    </row>
    <row r="2">
      <c r="A2" s="2" t="inlineStr">
        <is>
          <t>Each must be 0, or within the rounding allowed below: printed accounts often miss their own totals by a unit in the last place. Anything more points to a figure to look at before relying on the model.</t>
        </is>
      </c>
    </row>
    <row r="4">
      <c r="A4" s="6" t="inlineStr">
        <is>
          <t>Check</t>
        </is>
      </c>
      <c r="B4" s="7" t="inlineStr"/>
      <c r="C4" s="7" t="inlineStr">
        <is>
          <t>Largest difference</t>
        </is>
      </c>
    </row>
    <row r="5">
      <c r="A5" s="2" t="inlineStr">
        <is>
          <t>Historicals: profit after tax ties to the statements</t>
        </is>
      </c>
      <c r="C5" s="15">
        <f>MAX(ABS(MIN(Historicals!B27:D27)),ABS(MAX(Historicals!B27:D27)))</f>
        <v/>
      </c>
    </row>
    <row r="6">
      <c r="A6" s="2" t="inlineStr">
        <is>
          <t>Historicals: balance sheet balances</t>
        </is>
      </c>
      <c r="C6" s="15">
        <f>MAX(ABS(MIN(Historicals!B54:D54)),ABS(MAX(Historicals!B54:D54)))</f>
        <v/>
      </c>
    </row>
    <row r="7">
      <c r="A7" s="2" t="inlineStr">
        <is>
          <t>Historicals: total assets agree with the statements</t>
        </is>
      </c>
      <c r="C7" s="15">
        <f>MAX(ABS(MIN(Historicals!B55:D55)),ABS(MAX(Historicals!B55:D55)))</f>
        <v/>
      </c>
    </row>
    <row r="8">
      <c r="A8" s="2" t="inlineStr">
        <is>
          <t>Financials: projected balance sheets balance</t>
        </is>
      </c>
      <c r="C8" s="15">
        <f>MAX(ABS(MIN(Financials!C36:H36)),ABS(MAX(Financials!C36:H36)))</f>
        <v/>
      </c>
    </row>
    <row r="9">
      <c r="A9" s="2" t="inlineStr">
        <is>
          <t>WACC is above the terminal growth rate</t>
        </is>
      </c>
      <c r="C9" s="15">
        <f>IF(DCF!C9&gt;DCF!C5,0,1)</f>
        <v/>
      </c>
    </row>
    <row r="10">
      <c r="A10" s="2" t="inlineStr">
        <is>
          <t>Revenue is filled for the last actual year</t>
        </is>
      </c>
      <c r="C10" s="15">
        <f>IF(Historicals!D6&gt;0,0,1)</f>
        <v/>
      </c>
    </row>
    <row r="12">
      <c r="A12" s="3" t="inlineStr">
        <is>
          <t>Model</t>
        </is>
      </c>
      <c r="C12" s="3">
        <f>IF(AND(MAX(C5:C8)&lt;=RoundingAllowed,SUM(C9:C10)=0),"OK","CHECK")</f>
        <v/>
      </c>
    </row>
    <row r="14">
      <c r="A14" s="2" t="inlineStr">
        <is>
          <t>Rounding allowed on each check (₹ lakhs)</t>
        </is>
      </c>
      <c r="C14" s="10" t="n">
        <v>0.5</v>
      </c>
    </row>
  </sheetData>
  <conditionalFormatting sqref="C5:C8">
    <cfRule type="cellIs" priority="1" operator="greaterThan" dxfId="0">
      <formula>RoundingAllowed</formula>
    </cfRule>
  </conditionalFormatting>
  <conditionalFormatting sqref="C9:C10">
    <cfRule type="cellIs" priority="2" operator="notEqual" dxfId="0">
      <formula>0</formula>
    </cfRule>
  </conditionalFormatting>
  <conditionalFormatting sqref="C12">
    <cfRule type="expression" priority="3" dxfId="1">
      <formula>C12="OK"</formula>
    </cfRule>
    <cfRule type="expression" priority="4" dxfId="0">
      <formula>C12&lt;&gt;"OK"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2026-10-16T19:20:24Z</dcterms:created>
  <dcterms:modified xsi:type="dcterms:W3CDTF">2026-10-16T19:20:25Z</dcterms:modified>
</cp:coreProperties>
</file>